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50" windowHeight="9690" tabRatio="454" activeTab="0"/>
  </bookViews>
  <sheets>
    <sheet name="instructions" sheetId="1" r:id="rId1"/>
    <sheet name="calculation page" sheetId="2" r:id="rId2"/>
    <sheet name="OSR Form" sheetId="3" state="hidden" r:id="rId3"/>
  </sheets>
  <externalReferences>
    <externalReference r:id="rId6"/>
  </externalReferences>
  <definedNames>
    <definedName name="CombDirectTotal">'[1]ENTRBUD'!$G$21</definedName>
    <definedName name="FirstIndirect">'[1]CHKLST'!$O$42</definedName>
    <definedName name="FirstSubtotal">'[1]FIRSTBUD'!$I$39</definedName>
    <definedName name="FirstTotalDirect">'[1]FIRSTBUD'!$I$41</definedName>
    <definedName name="_xlnm.Print_Area" localSheetId="1">'calculation page'!$A$1:$AH$81</definedName>
    <definedName name="_xlnm.Print_Area" localSheetId="0">'instructions'!$A$1:$K$74</definedName>
    <definedName name="_xlnm.Print_Area" localSheetId="2">'OSR Form'!$A$1:$H$61</definedName>
  </definedNames>
  <calcPr fullCalcOnLoad="1"/>
</workbook>
</file>

<file path=xl/comments2.xml><?xml version="1.0" encoding="utf-8"?>
<comments xmlns="http://schemas.openxmlformats.org/spreadsheetml/2006/main">
  <authors>
    <author>Lynda S. Wolter</author>
  </authors>
  <commentList>
    <comment ref="N2" authorId="0">
      <text>
        <r>
          <rPr>
            <b/>
            <sz val="8"/>
            <rFont val="Tahoma"/>
            <family val="2"/>
          </rPr>
          <t>Please make sure to provide the NIH Salary Cap or the Personnel Calculations will not work!</t>
        </r>
      </text>
    </comment>
  </commentList>
</comments>
</file>

<file path=xl/comments3.xml><?xml version="1.0" encoding="utf-8"?>
<comments xmlns="http://schemas.openxmlformats.org/spreadsheetml/2006/main">
  <authors>
    <author>Andrew Ludington</author>
  </authors>
  <commentList>
    <comment ref="A51" authorId="0">
      <text>
        <r>
          <rPr>
            <b/>
            <sz val="8"/>
            <rFont val="Tahoma"/>
            <family val="0"/>
          </rPr>
          <t>F&amp;A Rate x (Annual Modular Direct Cost minus (category A and Subk costs in excess of the first $25,000))</t>
        </r>
      </text>
    </comment>
    <comment ref="B47" authorId="0">
      <text>
        <r>
          <rPr>
            <b/>
            <sz val="8"/>
            <rFont val="Tahoma"/>
            <family val="0"/>
          </rPr>
          <t>Use this figure on 7a of the face page.</t>
        </r>
      </text>
    </comment>
    <comment ref="H47" authorId="0">
      <text>
        <r>
          <rPr>
            <b/>
            <sz val="8"/>
            <rFont val="Tahoma"/>
            <family val="0"/>
          </rPr>
          <t>Use this figure on 8a of the face page.</t>
        </r>
      </text>
    </comment>
    <comment ref="B54" authorId="0">
      <text>
        <r>
          <rPr>
            <b/>
            <sz val="8"/>
            <rFont val="Tahoma"/>
            <family val="0"/>
          </rPr>
          <t>Use this figure on 7b of the face page.</t>
        </r>
      </text>
    </comment>
    <comment ref="H54" authorId="0">
      <text>
        <r>
          <rPr>
            <b/>
            <sz val="8"/>
            <rFont val="Tahoma"/>
            <family val="0"/>
          </rPr>
          <t xml:space="preserve">Use this figure on 8b of the face page.
</t>
        </r>
      </text>
    </comment>
  </commentList>
</comments>
</file>

<file path=xl/sharedStrings.xml><?xml version="1.0" encoding="utf-8"?>
<sst xmlns="http://schemas.openxmlformats.org/spreadsheetml/2006/main" count="205" uniqueCount="163">
  <si>
    <t>Project Begin Date:</t>
  </si>
  <si>
    <t>Project End Date:</t>
  </si>
  <si>
    <t>YEAR 1</t>
  </si>
  <si>
    <t>YEAR 2</t>
  </si>
  <si>
    <t>YEAR 3</t>
  </si>
  <si>
    <t>YEAR 4</t>
  </si>
  <si>
    <t>YEAR 5</t>
  </si>
  <si>
    <t>Name</t>
  </si>
  <si>
    <t>TOTAL</t>
  </si>
  <si>
    <t>Fringe Rate</t>
  </si>
  <si>
    <t xml:space="preserve">Non-Personnel Inflation Rate: </t>
  </si>
  <si>
    <t>EQUIPMENT SUBTOTAL</t>
  </si>
  <si>
    <t>SUBCONTRACTS SUBTOTAL</t>
  </si>
  <si>
    <t>OTHER EXPENSES SUBTOTAL</t>
  </si>
  <si>
    <t>MTDC</t>
  </si>
  <si>
    <t>TOTAL REQUESTED</t>
  </si>
  <si>
    <t>SUBCONTRACTS MTDC SUBTOTAL</t>
  </si>
  <si>
    <t>SUBCONTRACT EXCLUSION SUBTOTAL</t>
  </si>
  <si>
    <t xml:space="preserve">TOTAL DIRECT COSTS </t>
  </si>
  <si>
    <t>Number of years:</t>
  </si>
  <si>
    <t>yes</t>
  </si>
  <si>
    <t>current budget period months</t>
  </si>
  <si>
    <t>next budget period months</t>
  </si>
  <si>
    <t>prorated fringe rate/budget period</t>
  </si>
  <si>
    <t>NIH Salary Cap:</t>
  </si>
  <si>
    <t>SUBCONTRACT DIRECT COSTS</t>
  </si>
  <si>
    <t>SUBCONTRACT Indirect Costs</t>
  </si>
  <si>
    <t xml:space="preserve">SUBTOTAL DIRECT COSTS </t>
  </si>
  <si>
    <t>A. SENIOR/KEY PERSONNEL</t>
  </si>
  <si>
    <t>Fringe Benefits Calculation</t>
  </si>
  <si>
    <t xml:space="preserve">Personnel Inflation Rate: </t>
  </si>
  <si>
    <t>TRAVEL SUBTOTAL</t>
  </si>
  <si>
    <t>SENIOR/KEY PERSONNEL SUBTOTAL</t>
  </si>
  <si>
    <t>B. OTHER PERSONNEL</t>
  </si>
  <si>
    <t>OTHER PERSONNEL SUBTOTAL</t>
  </si>
  <si>
    <r>
      <t>C. EQUIPMENT (</t>
    </r>
    <r>
      <rPr>
        <i/>
        <sz val="10"/>
        <color indexed="21"/>
        <rFont val="Arial"/>
        <family val="2"/>
      </rPr>
      <t>Non-recurring; exceeds $5K/unit</t>
    </r>
    <r>
      <rPr>
        <b/>
        <sz val="10"/>
        <color indexed="21"/>
        <rFont val="Arial"/>
        <family val="2"/>
      </rPr>
      <t>)</t>
    </r>
  </si>
  <si>
    <t>D. TRAVEL</t>
  </si>
  <si>
    <t>E. PARTICIPANT/TRAINEE SUPPORT COSTS</t>
  </si>
  <si>
    <t>[equipment item 1]</t>
  </si>
  <si>
    <t>[equipment item 2]</t>
  </si>
  <si>
    <t>[domestic trip 2]</t>
  </si>
  <si>
    <t>[foreign trip a]</t>
  </si>
  <si>
    <t>[other:]</t>
  </si>
  <si>
    <t>[tution]</t>
  </si>
  <si>
    <t>PARTICPANT/TRAINEE SUPPORT SUBTOTAL</t>
  </si>
  <si>
    <t>F. OTHER DIRECT COSTS</t>
  </si>
  <si>
    <t>[materials and supplies]</t>
  </si>
  <si>
    <t>[publication costs]</t>
  </si>
  <si>
    <t>[ADP/computer services]</t>
  </si>
  <si>
    <t>[equipment or faciity rental/user fees]</t>
  </si>
  <si>
    <t>[alterations and renovations]</t>
  </si>
  <si>
    <t>G. SUBCONTRACTS</t>
  </si>
  <si>
    <t>H. TOTALS</t>
  </si>
  <si>
    <t>Project Role</t>
  </si>
  <si>
    <t>Budget Period Begins in Fiscal Year:</t>
  </si>
  <si>
    <t>[other:] SUBJECT REIMBURSEMENT</t>
  </si>
  <si>
    <r>
      <t>YEAR 1:</t>
    </r>
    <r>
      <rPr>
        <sz val="8"/>
        <color indexed="8"/>
        <rFont val="Arial"/>
        <family val="2"/>
      </rPr>
      <t xml:space="preserve">            Base Salary</t>
    </r>
  </si>
  <si>
    <r>
      <t xml:space="preserve">YEAR 1: </t>
    </r>
    <r>
      <rPr>
        <sz val="8"/>
        <color indexed="8"/>
        <rFont val="Arial"/>
        <family val="2"/>
      </rPr>
      <t xml:space="preserve">                          Cal Months</t>
    </r>
  </si>
  <si>
    <r>
      <t>YEAR 1:</t>
    </r>
    <r>
      <rPr>
        <sz val="8"/>
        <color indexed="8"/>
        <rFont val="Arial"/>
        <family val="2"/>
      </rPr>
      <t xml:space="preserve">                                             Requested Salary</t>
    </r>
  </si>
  <si>
    <r>
      <t xml:space="preserve">YEAR 1:                                           </t>
    </r>
    <r>
      <rPr>
        <sz val="8"/>
        <color indexed="8"/>
        <rFont val="Arial"/>
        <family val="2"/>
      </rPr>
      <t xml:space="preserve"> Fringe Benefits</t>
    </r>
  </si>
  <si>
    <r>
      <t xml:space="preserve">YEAR 1:                                            </t>
    </r>
    <r>
      <rPr>
        <sz val="8"/>
        <color indexed="8"/>
        <rFont val="Arial"/>
        <family val="2"/>
      </rPr>
      <t>Funds Requested</t>
    </r>
  </si>
  <si>
    <r>
      <t>YEAR 2:</t>
    </r>
    <r>
      <rPr>
        <sz val="8"/>
        <color indexed="8"/>
        <rFont val="Arial"/>
        <family val="2"/>
      </rPr>
      <t xml:space="preserve">            Base Salary</t>
    </r>
  </si>
  <si>
    <r>
      <t xml:space="preserve">YEAR 2: </t>
    </r>
    <r>
      <rPr>
        <sz val="8"/>
        <color indexed="8"/>
        <rFont val="Arial"/>
        <family val="2"/>
      </rPr>
      <t xml:space="preserve">                          Cal Months</t>
    </r>
  </si>
  <si>
    <r>
      <t>YEAR 2:</t>
    </r>
    <r>
      <rPr>
        <sz val="8"/>
        <color indexed="8"/>
        <rFont val="Arial"/>
        <family val="2"/>
      </rPr>
      <t xml:space="preserve">                                             Requested Salary</t>
    </r>
  </si>
  <si>
    <r>
      <t xml:space="preserve">YEAR 2:                                           </t>
    </r>
    <r>
      <rPr>
        <sz val="8"/>
        <color indexed="8"/>
        <rFont val="Arial"/>
        <family val="2"/>
      </rPr>
      <t xml:space="preserve"> Fringe Benefits</t>
    </r>
  </si>
  <si>
    <r>
      <t xml:space="preserve">YEAR 2:                                            </t>
    </r>
    <r>
      <rPr>
        <sz val="8"/>
        <color indexed="8"/>
        <rFont val="Arial"/>
        <family val="2"/>
      </rPr>
      <t>Funds Requested</t>
    </r>
  </si>
  <si>
    <r>
      <t>YEAR 3:</t>
    </r>
    <r>
      <rPr>
        <sz val="8"/>
        <color indexed="8"/>
        <rFont val="Arial"/>
        <family val="2"/>
      </rPr>
      <t xml:space="preserve">            Base Salary</t>
    </r>
  </si>
  <si>
    <r>
      <t xml:space="preserve">YEAR 3: </t>
    </r>
    <r>
      <rPr>
        <sz val="8"/>
        <color indexed="8"/>
        <rFont val="Arial"/>
        <family val="2"/>
      </rPr>
      <t xml:space="preserve">                          Cal Months</t>
    </r>
  </si>
  <si>
    <r>
      <t>YEAR 3:</t>
    </r>
    <r>
      <rPr>
        <sz val="8"/>
        <color indexed="8"/>
        <rFont val="Arial"/>
        <family val="2"/>
      </rPr>
      <t xml:space="preserve">                                             Requested Salary</t>
    </r>
  </si>
  <si>
    <r>
      <t xml:space="preserve">YEAR 3:                                           </t>
    </r>
    <r>
      <rPr>
        <sz val="8"/>
        <color indexed="8"/>
        <rFont val="Arial"/>
        <family val="2"/>
      </rPr>
      <t xml:space="preserve"> Fringe Benefits</t>
    </r>
  </si>
  <si>
    <r>
      <t xml:space="preserve">YEAR 3:                                            </t>
    </r>
    <r>
      <rPr>
        <sz val="8"/>
        <color indexed="8"/>
        <rFont val="Arial"/>
        <family val="2"/>
      </rPr>
      <t>Funds Requested</t>
    </r>
  </si>
  <si>
    <r>
      <t>YEAR 4:</t>
    </r>
    <r>
      <rPr>
        <sz val="8"/>
        <color indexed="8"/>
        <rFont val="Arial"/>
        <family val="2"/>
      </rPr>
      <t xml:space="preserve">            Base Salary</t>
    </r>
  </si>
  <si>
    <r>
      <t xml:space="preserve">YEAR 4: </t>
    </r>
    <r>
      <rPr>
        <sz val="8"/>
        <color indexed="8"/>
        <rFont val="Arial"/>
        <family val="2"/>
      </rPr>
      <t xml:space="preserve">                          Cal Months</t>
    </r>
  </si>
  <si>
    <r>
      <t>YEAR 4:</t>
    </r>
    <r>
      <rPr>
        <sz val="8"/>
        <color indexed="8"/>
        <rFont val="Arial"/>
        <family val="2"/>
      </rPr>
      <t xml:space="preserve">                                             Requested Salary</t>
    </r>
  </si>
  <si>
    <r>
      <t xml:space="preserve">YEAR 4:                                           </t>
    </r>
    <r>
      <rPr>
        <sz val="8"/>
        <color indexed="8"/>
        <rFont val="Arial"/>
        <family val="2"/>
      </rPr>
      <t xml:space="preserve"> Fringe Benefits</t>
    </r>
  </si>
  <si>
    <r>
      <t xml:space="preserve">YEAR 4:                                            </t>
    </r>
    <r>
      <rPr>
        <sz val="8"/>
        <color indexed="8"/>
        <rFont val="Arial"/>
        <family val="2"/>
      </rPr>
      <t>Funds Requested</t>
    </r>
  </si>
  <si>
    <r>
      <t>YEAR 5:</t>
    </r>
    <r>
      <rPr>
        <sz val="8"/>
        <color indexed="8"/>
        <rFont val="Arial"/>
        <family val="2"/>
      </rPr>
      <t xml:space="preserve">            Base Salary</t>
    </r>
  </si>
  <si>
    <r>
      <t xml:space="preserve">YEAR 5: </t>
    </r>
    <r>
      <rPr>
        <sz val="8"/>
        <color indexed="8"/>
        <rFont val="Arial"/>
        <family val="2"/>
      </rPr>
      <t xml:space="preserve">                          Cal Months</t>
    </r>
  </si>
  <si>
    <r>
      <t>YEAR 5:</t>
    </r>
    <r>
      <rPr>
        <sz val="8"/>
        <color indexed="8"/>
        <rFont val="Arial"/>
        <family val="2"/>
      </rPr>
      <t xml:space="preserve">                                             Requested Salary</t>
    </r>
  </si>
  <si>
    <r>
      <t xml:space="preserve">YEAR 5:                                           </t>
    </r>
    <r>
      <rPr>
        <sz val="8"/>
        <color indexed="8"/>
        <rFont val="Arial"/>
        <family val="2"/>
      </rPr>
      <t xml:space="preserve"> Fringe Benefits</t>
    </r>
  </si>
  <si>
    <r>
      <t xml:space="preserve">YEAR 5:                                            </t>
    </r>
    <r>
      <rPr>
        <sz val="8"/>
        <color indexed="8"/>
        <rFont val="Arial"/>
        <family val="2"/>
      </rPr>
      <t>Funds Requested</t>
    </r>
  </si>
  <si>
    <t>TOTAL SALARIES, WAGES &amp; FRINGE BENEFITS</t>
  </si>
  <si>
    <t>Chih-Hung Chang</t>
  </si>
  <si>
    <t>Form version 4/07/06</t>
  </si>
  <si>
    <t>PI Name:</t>
  </si>
  <si>
    <t>Northwestern University</t>
  </si>
  <si>
    <t>NIH Modular Grant Budget Tabulator (On-Campus Research)</t>
  </si>
  <si>
    <t xml:space="preserve">Complete this template and submit it with your NIH modular grant applications to OSR.  This form will be used for  </t>
  </si>
  <si>
    <t>internal purposes only and will not be sent to NIH.  Form will not calculate correctly without budget dates, and SHOULD</t>
  </si>
  <si>
    <t>NOT BE USED for programs that have a maximum budget that is not in whole modules (e.g. R03, R21, etc).</t>
  </si>
  <si>
    <t>Year One</t>
  </si>
  <si>
    <t xml:space="preserve">Year Two </t>
  </si>
  <si>
    <t>Year Three</t>
  </si>
  <si>
    <t>Year Four</t>
  </si>
  <si>
    <t>Year Five</t>
  </si>
  <si>
    <t>Cumulative</t>
  </si>
  <si>
    <t>Budget start date</t>
  </si>
  <si>
    <t>Total</t>
  </si>
  <si>
    <t xml:space="preserve">Additional </t>
  </si>
  <si>
    <t>Budget end date</t>
  </si>
  <si>
    <t>Module(s)</t>
  </si>
  <si>
    <t xml:space="preserve">Equipment Items over $5,000 </t>
  </si>
  <si>
    <t>Off-Campus Space Rental</t>
  </si>
  <si>
    <t>Patient Care Costs</t>
  </si>
  <si>
    <t>Telecommunication costs</t>
  </si>
  <si>
    <t>Tuition</t>
  </si>
  <si>
    <t>Alterations and Renovation Costs</t>
  </si>
  <si>
    <t>List each subcontract by name of subcontractor and the total amount (direct and F&amp;A) to be awarded to that subcontract.</t>
  </si>
  <si>
    <t>[Sub 1] Direct Costs</t>
  </si>
  <si>
    <t>[Sub 1] Indirect Costs</t>
  </si>
  <si>
    <t>[Sub 2] Direct Costs</t>
  </si>
  <si>
    <t>[Sub 2] Indirect Costs</t>
  </si>
  <si>
    <t>[Sub 3] Direct Costs</t>
  </si>
  <si>
    <t>[Sub 3] Indirect Costs</t>
  </si>
  <si>
    <t xml:space="preserve">Total of ALL other costs (salaries, fringe benefits, supplies and expense, consultant costs, travel, other </t>
  </si>
  <si>
    <t xml:space="preserve">direct costs).  Remember that the NIH Salary Cap still applies.  List these costs individually only if you find it useful within </t>
  </si>
  <si>
    <t xml:space="preserve">the department – OSR requires only the bottom line total.   </t>
  </si>
  <si>
    <t>SUBTOTAL DIRECT COSTS (A + B + C)</t>
  </si>
  <si>
    <t>STOP:  DO MODULAR CALCULATION NOW</t>
  </si>
  <si>
    <t>Total Costs (All Years)</t>
  </si>
  <si>
    <t xml:space="preserve">Div. by # of Yrs </t>
  </si>
  <si>
    <t>Round to nearest $25K</t>
  </si>
  <si>
    <t xml:space="preserve">Insert the rounded number for each year of the budget in the line below. </t>
  </si>
  <si>
    <t>DC LESS CONSORTIUM</t>
  </si>
  <si>
    <t>Totals (including     additional modules)</t>
  </si>
  <si>
    <t>F&amp;A</t>
  </si>
  <si>
    <t>CONSORTIUM F&amp;A</t>
  </si>
  <si>
    <t>TOTAL DIRECT COSTS</t>
  </si>
  <si>
    <t>F&amp;A BASE</t>
  </si>
  <si>
    <t>F&amp;A COSTS</t>
  </si>
  <si>
    <t>TOTAL COST</t>
  </si>
  <si>
    <t>monthly direct costs</t>
  </si>
  <si>
    <t>F&amp;A first half if %49.5</t>
  </si>
  <si>
    <t>F&amp;A first half if %51</t>
  </si>
  <si>
    <t>F&amp;A first half if 51%</t>
  </si>
  <si>
    <t>F&amp;A 2nd half if %49.5</t>
  </si>
  <si>
    <t>F&amp;A 2nd half if %51</t>
  </si>
  <si>
    <t>F&amp;A 2nd half if 51%</t>
  </si>
  <si>
    <t>months in FY A</t>
  </si>
  <si>
    <t>months in FY B</t>
  </si>
  <si>
    <t>rates and dates</t>
  </si>
  <si>
    <t>9/1/05-8/31/06</t>
  </si>
  <si>
    <t>9/1/06-8/31/07</t>
  </si>
  <si>
    <t>9/1/07-8/31/08</t>
  </si>
  <si>
    <r>
      <t>Category A</t>
    </r>
    <r>
      <rPr>
        <sz val="10"/>
        <rFont val="Times New Roman"/>
        <family val="1"/>
      </rPr>
      <t xml:space="preserve"> (Exempt from F&amp;A costs)</t>
    </r>
  </si>
  <si>
    <r>
      <t>Category B</t>
    </r>
    <r>
      <rPr>
        <sz val="10"/>
        <rFont val="Times New Roman"/>
        <family val="1"/>
      </rPr>
      <t xml:space="preserve">  - Subcontracts (F&amp;A calculated on first $25,000 of each subcontract)</t>
    </r>
  </si>
  <si>
    <r>
      <t>Category C</t>
    </r>
    <r>
      <rPr>
        <sz val="10"/>
        <rFont val="Times New Roman"/>
        <family val="1"/>
      </rPr>
      <t xml:space="preserve"> (Subject to F&amp;A)</t>
    </r>
  </si>
  <si>
    <t>Senior/Key Personnel</t>
  </si>
  <si>
    <t>Other Personnel</t>
  </si>
  <si>
    <t>Equipment</t>
  </si>
  <si>
    <t>Travel</t>
  </si>
  <si>
    <t>Other Costs</t>
  </si>
  <si>
    <t>Year 1: % effort</t>
  </si>
  <si>
    <t>Year 2: % effort</t>
  </si>
  <si>
    <t>[consultant services: ]</t>
  </si>
  <si>
    <t>Year 5: % effort</t>
  </si>
  <si>
    <t>Year 4: % effort</t>
  </si>
  <si>
    <t>Year 3: % effort</t>
  </si>
  <si>
    <t>[domestic trip 1]</t>
  </si>
  <si>
    <t xml:space="preserve">[other:] </t>
  </si>
  <si>
    <t>INDIRECT COSTS (@ 52.5%)</t>
  </si>
  <si>
    <t>Math Check</t>
  </si>
  <si>
    <t>NIH SF424 REGULAR Budget Worksheet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</si>
</sst>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
    <numFmt numFmtId="167" formatCode="mm/dd/yy"/>
    <numFmt numFmtId="168" formatCode="##"/>
    <numFmt numFmtId="169" formatCode="0#"/>
    <numFmt numFmtId="170" formatCode="_(* #,##0_);_(* \(#,##0\);_(* &quot;-&quot;??_);_(@_)"/>
    <numFmt numFmtId="171" formatCode="_(* #,##0.0_);_(* \(#,##0.0\);_(* &quot;-&quot;??_);_(@_)"/>
    <numFmt numFmtId="172" formatCode="_(&quot;$&quot;* #,##0.0_);_(&quot;$&quot;* \(#,##0.0\);_(&quot;$&quot;* &quot;-&quot;??_);_(@_)"/>
    <numFmt numFmtId="173" formatCode="_(&quot;$&quot;* #,##0_);_(&quot;$&quot;* \(#,##0\);_(&quot;$&quot;* &quot;-&quot;??_);_(@_)"/>
    <numFmt numFmtId="174" formatCode="0.0%"/>
    <numFmt numFmtId="175" formatCode="m/d"/>
    <numFmt numFmtId="176" formatCode="mmmm\-yy"/>
    <numFmt numFmtId="177" formatCode="mmmmm\-yy"/>
    <numFmt numFmtId="178" formatCode="&quot;Yes&quot;;&quot;Yes&quot;;&quot;No&quot;"/>
    <numFmt numFmtId="179" formatCode="&quot;True&quot;;&quot;True&quot;;&quot;False&quot;"/>
    <numFmt numFmtId="180" formatCode="&quot;On&quot;;&quot;On&quot;;&quot;Off&quot;"/>
    <numFmt numFmtId="181" formatCode="mm/dd/yy\ h:mm:ss"/>
    <numFmt numFmtId="182" formatCode="General_)"/>
    <numFmt numFmtId="183" formatCode="#,##0.;\(#,##0\)"/>
    <numFmt numFmtId="184" formatCode="mm/dd/yy\ h:mm"/>
    <numFmt numFmtId="185" formatCode="00"/>
    <numFmt numFmtId="186" formatCode="[$-409]dddd\,\ mmmm\ dd\,\ yyyy"/>
    <numFmt numFmtId="187" formatCode="m/d/yyyy;@"/>
    <numFmt numFmtId="188" formatCode="#,##0.0"/>
    <numFmt numFmtId="189" formatCode="&quot;$&quot;#,##0.00"/>
    <numFmt numFmtId="190" formatCode="&quot;$&quot;#,##0"/>
    <numFmt numFmtId="191" formatCode="#,##0.000"/>
    <numFmt numFmtId="192" formatCode="0.000"/>
    <numFmt numFmtId="193" formatCode="m/d/yy"/>
    <numFmt numFmtId="194" formatCode="0.000%"/>
    <numFmt numFmtId="195" formatCode="[$€-2]\ #,##0.00_);[Red]\([$€-2]\ #,##0.00\)"/>
  </numFmts>
  <fonts count="84">
    <font>
      <sz val="10"/>
      <name val="Arial"/>
      <family val="0"/>
    </font>
    <font>
      <b/>
      <sz val="10"/>
      <name val="Arial"/>
      <family val="0"/>
    </font>
    <font>
      <i/>
      <sz val="10"/>
      <name val="Arial"/>
      <family val="0"/>
    </font>
    <font>
      <b/>
      <i/>
      <sz val="10"/>
      <name val="Arial"/>
      <family val="0"/>
    </font>
    <font>
      <sz val="10"/>
      <color indexed="8"/>
      <name val="Arial"/>
      <family val="0"/>
    </font>
    <font>
      <b/>
      <sz val="10"/>
      <color indexed="8"/>
      <name val="Arial"/>
      <family val="0"/>
    </font>
    <font>
      <sz val="8"/>
      <color indexed="8"/>
      <name val="Arial"/>
      <family val="2"/>
    </font>
    <font>
      <sz val="10"/>
      <color indexed="21"/>
      <name val="Arial"/>
      <family val="2"/>
    </font>
    <font>
      <b/>
      <sz val="10"/>
      <color indexed="21"/>
      <name val="Arial"/>
      <family val="2"/>
    </font>
    <font>
      <b/>
      <sz val="10"/>
      <color indexed="18"/>
      <name val="Arial"/>
      <family val="2"/>
    </font>
    <font>
      <sz val="10"/>
      <color indexed="18"/>
      <name val="Arial"/>
      <family val="2"/>
    </font>
    <font>
      <b/>
      <sz val="10"/>
      <color indexed="54"/>
      <name val="Arial"/>
      <family val="2"/>
    </font>
    <font>
      <sz val="10"/>
      <color indexed="54"/>
      <name val="Arial"/>
      <family val="2"/>
    </font>
    <font>
      <sz val="8"/>
      <color indexed="21"/>
      <name val="Arial"/>
      <family val="2"/>
    </font>
    <font>
      <i/>
      <sz val="10"/>
      <color indexed="8"/>
      <name val="Arial"/>
      <family val="2"/>
    </font>
    <font>
      <sz val="10"/>
      <color indexed="10"/>
      <name val="Arial"/>
      <family val="2"/>
    </font>
    <font>
      <b/>
      <sz val="14"/>
      <color indexed="21"/>
      <name val="Arial"/>
      <family val="2"/>
    </font>
    <font>
      <b/>
      <sz val="8"/>
      <name val="Tahoma"/>
      <family val="2"/>
    </font>
    <font>
      <b/>
      <i/>
      <sz val="10"/>
      <color indexed="8"/>
      <name val="Arial"/>
      <family val="2"/>
    </font>
    <font>
      <i/>
      <sz val="10"/>
      <color indexed="54"/>
      <name val="Arial"/>
      <family val="2"/>
    </font>
    <font>
      <sz val="10"/>
      <color indexed="62"/>
      <name val="Arial"/>
      <family val="2"/>
    </font>
    <font>
      <sz val="10"/>
      <color indexed="12"/>
      <name val="Arial"/>
      <family val="2"/>
    </font>
    <font>
      <b/>
      <sz val="12"/>
      <color indexed="12"/>
      <name val="Arial"/>
      <family val="2"/>
    </font>
    <font>
      <b/>
      <sz val="10"/>
      <color indexed="12"/>
      <name val="Arial"/>
      <family val="2"/>
    </font>
    <font>
      <i/>
      <sz val="10"/>
      <color indexed="21"/>
      <name val="Arial"/>
      <family val="2"/>
    </font>
    <font>
      <b/>
      <i/>
      <sz val="12"/>
      <color indexed="12"/>
      <name val="Arial"/>
      <family val="2"/>
    </font>
    <font>
      <i/>
      <sz val="10"/>
      <color indexed="12"/>
      <name val="Arial"/>
      <family val="2"/>
    </font>
    <font>
      <b/>
      <i/>
      <sz val="10"/>
      <color indexed="12"/>
      <name val="Arial"/>
      <family val="2"/>
    </font>
    <font>
      <b/>
      <sz val="8"/>
      <color indexed="8"/>
      <name val="Arial"/>
      <family val="2"/>
    </font>
    <font>
      <u val="single"/>
      <sz val="10"/>
      <color indexed="36"/>
      <name val="Arial"/>
      <family val="0"/>
    </font>
    <font>
      <u val="single"/>
      <sz val="10"/>
      <color indexed="12"/>
      <name val="Arial"/>
      <family val="0"/>
    </font>
    <font>
      <b/>
      <sz val="10"/>
      <color indexed="10"/>
      <name val="Arial"/>
      <family val="2"/>
    </font>
    <font>
      <sz val="10"/>
      <name val="Times New Roman"/>
      <family val="1"/>
    </font>
    <font>
      <sz val="8"/>
      <name val="Times New Roman"/>
      <family val="1"/>
    </font>
    <font>
      <b/>
      <sz val="12"/>
      <name val="Times New Roman"/>
      <family val="1"/>
    </font>
    <font>
      <i/>
      <sz val="10"/>
      <name val="Times New Roman"/>
      <family val="1"/>
    </font>
    <font>
      <sz val="8"/>
      <color indexed="10"/>
      <name val="Times New Roman"/>
      <family val="1"/>
    </font>
    <font>
      <sz val="8"/>
      <color indexed="10"/>
      <name val="Arial"/>
      <family val="2"/>
    </font>
    <font>
      <b/>
      <sz val="10"/>
      <name val="Times New Roman"/>
      <family val="1"/>
    </font>
    <font>
      <sz val="9"/>
      <name val="Times New Roman"/>
      <family val="1"/>
    </font>
    <font>
      <sz val="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CG Omega"/>
      <family val="0"/>
    </font>
    <font>
      <b/>
      <sz val="20"/>
      <color indexed="8"/>
      <name val="CG Omega"/>
      <family val="0"/>
    </font>
    <font>
      <b/>
      <u val="single"/>
      <sz val="20"/>
      <color indexed="8"/>
      <name val="CG Omega"/>
      <family val="0"/>
    </font>
    <font>
      <b/>
      <sz val="20"/>
      <color indexed="9"/>
      <name val="CG Omega"/>
      <family val="0"/>
    </font>
    <font>
      <b/>
      <sz val="14"/>
      <color indexed="8"/>
      <name val="CG Omega"/>
      <family val="0"/>
    </font>
    <font>
      <b/>
      <sz val="16"/>
      <color indexed="8"/>
      <name val="CG Omega"/>
      <family val="0"/>
    </font>
    <font>
      <b/>
      <sz val="16"/>
      <color indexed="13"/>
      <name val="CG Omega"/>
      <family val="0"/>
    </font>
    <font>
      <sz val="14"/>
      <color indexed="8"/>
      <name val="CG Omega"/>
      <family val="0"/>
    </font>
    <font>
      <u val="single"/>
      <sz val="14"/>
      <color indexed="12"/>
      <name val="CG Omeg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style="medium"/>
      <right>
        <color indexed="63"/>
      </right>
      <top style="thin"/>
      <bottom style="thin"/>
    </border>
    <border>
      <left>
        <color indexed="63"/>
      </left>
      <right>
        <color indexed="63"/>
      </right>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color indexed="63"/>
      </right>
      <top>
        <color indexed="63"/>
      </top>
      <bottom>
        <color indexed="63"/>
      </bottom>
    </border>
    <border>
      <left>
        <color indexed="63"/>
      </left>
      <right style="medium"/>
      <top style="thin"/>
      <bottom style="thin"/>
    </border>
    <border>
      <left style="medium"/>
      <right>
        <color indexed="63"/>
      </right>
      <top style="dashed"/>
      <bottom style="thin"/>
    </border>
    <border>
      <left style="medium"/>
      <right>
        <color indexed="63"/>
      </right>
      <top style="thin"/>
      <bottom style="medium"/>
    </border>
    <border>
      <left>
        <color indexed="63"/>
      </left>
      <right style="medium"/>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dashed"/>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medium"/>
      <top style="thin"/>
      <bottom>
        <color indexed="63"/>
      </bottom>
    </border>
    <border>
      <left>
        <color indexed="63"/>
      </left>
      <right style="medium"/>
      <top style="medium"/>
      <bottom style="medium"/>
    </border>
    <border>
      <left style="thin"/>
      <right style="thin"/>
      <top style="thin"/>
      <bottom style="mediu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9"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30"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68">
    <xf numFmtId="0" fontId="0" fillId="0" borderId="0" xfId="0" applyAlignment="1">
      <alignment/>
    </xf>
    <xf numFmtId="0" fontId="4" fillId="0" borderId="0" xfId="0" applyFont="1" applyFill="1" applyAlignment="1">
      <alignment/>
    </xf>
    <xf numFmtId="0" fontId="4" fillId="0" borderId="0" xfId="0" applyFont="1" applyFill="1" applyBorder="1" applyAlignment="1">
      <alignment/>
    </xf>
    <xf numFmtId="170" fontId="5" fillId="0" borderId="10" xfId="42" applyNumberFormat="1" applyFont="1" applyFill="1" applyBorder="1" applyAlignment="1">
      <alignment horizontal="center"/>
    </xf>
    <xf numFmtId="0" fontId="5" fillId="0" borderId="0" xfId="0" applyFont="1" applyFill="1" applyBorder="1" applyAlignment="1">
      <alignment horizontal="center"/>
    </xf>
    <xf numFmtId="0" fontId="14" fillId="0" borderId="0" xfId="0" applyFont="1" applyFill="1" applyAlignment="1">
      <alignment horizontal="center"/>
    </xf>
    <xf numFmtId="0" fontId="0" fillId="0" borderId="0" xfId="0" applyFont="1" applyFill="1" applyAlignment="1">
      <alignment/>
    </xf>
    <xf numFmtId="0" fontId="11" fillId="0" borderId="11" xfId="0" applyFont="1" applyFill="1" applyBorder="1" applyAlignment="1">
      <alignment horizontal="right"/>
    </xf>
    <xf numFmtId="174" fontId="4" fillId="0" borderId="0" xfId="0" applyNumberFormat="1" applyFont="1" applyFill="1" applyBorder="1" applyAlignment="1">
      <alignment/>
    </xf>
    <xf numFmtId="0" fontId="9" fillId="0" borderId="0" xfId="0" applyFont="1" applyFill="1" applyAlignment="1">
      <alignment horizontal="left"/>
    </xf>
    <xf numFmtId="170" fontId="0" fillId="0" borderId="10" xfId="42" applyNumberFormat="1"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left"/>
    </xf>
    <xf numFmtId="0" fontId="18" fillId="0" borderId="0" xfId="0" applyFont="1" applyFill="1" applyAlignment="1">
      <alignment horizontal="center"/>
    </xf>
    <xf numFmtId="0" fontId="1" fillId="0" borderId="0" xfId="0" applyFont="1" applyFill="1" applyAlignment="1">
      <alignment/>
    </xf>
    <xf numFmtId="0" fontId="5" fillId="0" borderId="0" xfId="0" applyFont="1" applyFill="1" applyAlignment="1">
      <alignment/>
    </xf>
    <xf numFmtId="0" fontId="16" fillId="0" borderId="0" xfId="0" applyFont="1" applyFill="1" applyAlignment="1">
      <alignment/>
    </xf>
    <xf numFmtId="0" fontId="13" fillId="0" borderId="0" xfId="0" applyFont="1" applyFill="1" applyAlignment="1">
      <alignment/>
    </xf>
    <xf numFmtId="0" fontId="7" fillId="0" borderId="0" xfId="0" applyFont="1" applyFill="1" applyAlignment="1">
      <alignment/>
    </xf>
    <xf numFmtId="0" fontId="8" fillId="0" borderId="0" xfId="0" applyFont="1" applyFill="1" applyAlignment="1">
      <alignment/>
    </xf>
    <xf numFmtId="173" fontId="4" fillId="0" borderId="0" xfId="44" applyNumberFormat="1" applyFont="1" applyFill="1" applyBorder="1" applyAlignment="1" applyProtection="1" quotePrefix="1">
      <alignment horizontal="left"/>
      <protection locked="0"/>
    </xf>
    <xf numFmtId="173" fontId="5" fillId="0" borderId="0" xfId="44" applyNumberFormat="1" applyFont="1" applyFill="1" applyBorder="1" applyAlignment="1" applyProtection="1" quotePrefix="1">
      <alignment horizontal="left"/>
      <protection locked="0"/>
    </xf>
    <xf numFmtId="0" fontId="8" fillId="0" borderId="11" xfId="0" applyFont="1" applyFill="1" applyBorder="1" applyAlignment="1">
      <alignment horizontal="left"/>
    </xf>
    <xf numFmtId="9" fontId="4" fillId="0" borderId="0" xfId="59" applyFont="1" applyFill="1" applyBorder="1" applyAlignment="1" applyProtection="1" quotePrefix="1">
      <alignment horizontal="center"/>
      <protection locked="0"/>
    </xf>
    <xf numFmtId="0" fontId="10" fillId="0" borderId="0" xfId="0" applyFont="1" applyFill="1" applyAlignment="1">
      <alignment horizontal="right"/>
    </xf>
    <xf numFmtId="0" fontId="6" fillId="0" borderId="12" xfId="0" applyFont="1" applyFill="1" applyBorder="1" applyAlignment="1">
      <alignment horizontal="center" wrapText="1"/>
    </xf>
    <xf numFmtId="0" fontId="12" fillId="0" borderId="11" xfId="0" applyFont="1" applyFill="1" applyBorder="1" applyAlignment="1">
      <alignment horizontal="right"/>
    </xf>
    <xf numFmtId="0" fontId="4" fillId="0" borderId="0" xfId="0" applyFont="1" applyFill="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Alignment="1">
      <alignment/>
    </xf>
    <xf numFmtId="0" fontId="23" fillId="0" borderId="0" xfId="0" applyFont="1" applyFill="1" applyAlignment="1">
      <alignment/>
    </xf>
    <xf numFmtId="0" fontId="23" fillId="0" borderId="0" xfId="0" applyFont="1" applyFill="1" applyBorder="1" applyAlignment="1">
      <alignment/>
    </xf>
    <xf numFmtId="0" fontId="23" fillId="0" borderId="0" xfId="0" applyNumberFormat="1" applyFont="1" applyFill="1" applyBorder="1" applyAlignment="1" applyProtection="1">
      <alignment horizontal="center"/>
      <protection locked="0"/>
    </xf>
    <xf numFmtId="0" fontId="21" fillId="0" borderId="0" xfId="0" applyFont="1" applyFill="1" applyBorder="1" applyAlignment="1">
      <alignment/>
    </xf>
    <xf numFmtId="0" fontId="21" fillId="0" borderId="0" xfId="0" applyFont="1" applyFill="1" applyBorder="1" applyAlignment="1">
      <alignment horizontal="right"/>
    </xf>
    <xf numFmtId="10" fontId="23" fillId="0" borderId="0" xfId="59" applyNumberFormat="1" applyFont="1" applyFill="1" applyBorder="1" applyAlignment="1">
      <alignment horizontal="center"/>
    </xf>
    <xf numFmtId="3" fontId="23" fillId="0" borderId="0" xfId="59" applyNumberFormat="1" applyFont="1" applyFill="1" applyBorder="1" applyAlignment="1">
      <alignment horizontal="center"/>
    </xf>
    <xf numFmtId="0" fontId="8" fillId="0" borderId="13" xfId="0" applyFont="1" applyFill="1" applyBorder="1" applyAlignment="1">
      <alignment horizontal="left"/>
    </xf>
    <xf numFmtId="0" fontId="4" fillId="0" borderId="14" xfId="0" applyFont="1" applyFill="1" applyBorder="1" applyAlignment="1">
      <alignment/>
    </xf>
    <xf numFmtId="0" fontId="5" fillId="0" borderId="14" xfId="0" applyFont="1" applyFill="1" applyBorder="1" applyAlignment="1">
      <alignment horizontal="center"/>
    </xf>
    <xf numFmtId="0" fontId="5" fillId="0" borderId="0" xfId="0" applyFont="1" applyFill="1" applyBorder="1" applyAlignment="1">
      <alignment/>
    </xf>
    <xf numFmtId="0" fontId="5" fillId="0" borderId="15" xfId="0" applyFont="1" applyFill="1" applyBorder="1" applyAlignment="1">
      <alignment horizontal="center"/>
    </xf>
    <xf numFmtId="170" fontId="1" fillId="0" borderId="16" xfId="42" applyNumberFormat="1" applyFont="1" applyFill="1" applyBorder="1" applyAlignment="1">
      <alignment horizontal="center"/>
    </xf>
    <xf numFmtId="170" fontId="5" fillId="0" borderId="16" xfId="42" applyNumberFormat="1" applyFont="1" applyFill="1" applyBorder="1" applyAlignment="1">
      <alignment horizontal="center"/>
    </xf>
    <xf numFmtId="170" fontId="1" fillId="0" borderId="17" xfId="42" applyNumberFormat="1" applyFont="1" applyFill="1" applyBorder="1" applyAlignment="1">
      <alignment horizontal="center"/>
    </xf>
    <xf numFmtId="0" fontId="4" fillId="0" borderId="18" xfId="0" applyFont="1" applyFill="1" applyBorder="1" applyAlignment="1">
      <alignment/>
    </xf>
    <xf numFmtId="0" fontId="11" fillId="0" borderId="19" xfId="0" applyFont="1" applyFill="1" applyBorder="1" applyAlignment="1">
      <alignment horizontal="right"/>
    </xf>
    <xf numFmtId="0" fontId="4" fillId="0" borderId="13" xfId="0" applyFont="1" applyFill="1" applyBorder="1" applyAlignment="1">
      <alignment/>
    </xf>
    <xf numFmtId="0" fontId="4" fillId="0" borderId="13" xfId="0" applyFont="1" applyFill="1" applyBorder="1" applyAlignment="1">
      <alignment/>
    </xf>
    <xf numFmtId="0" fontId="12" fillId="0" borderId="19" xfId="0" applyFont="1" applyFill="1" applyBorder="1" applyAlignment="1">
      <alignment horizontal="right"/>
    </xf>
    <xf numFmtId="0" fontId="12" fillId="0" borderId="20" xfId="0" applyFont="1" applyFill="1" applyBorder="1" applyAlignment="1">
      <alignment horizontal="left"/>
    </xf>
    <xf numFmtId="0" fontId="12" fillId="0" borderId="13" xfId="0" applyFont="1" applyFill="1" applyBorder="1" applyAlignment="1">
      <alignment horizontal="right"/>
    </xf>
    <xf numFmtId="0" fontId="19" fillId="0" borderId="19" xfId="0" applyFont="1" applyFill="1" applyBorder="1" applyAlignment="1" applyProtection="1">
      <alignment horizontal="right"/>
      <protection locked="0"/>
    </xf>
    <xf numFmtId="0" fontId="4" fillId="0" borderId="21" xfId="0" applyFont="1" applyFill="1" applyBorder="1" applyAlignment="1">
      <alignment/>
    </xf>
    <xf numFmtId="0" fontId="11" fillId="0" borderId="22" xfId="0" applyFont="1" applyFill="1" applyBorder="1" applyAlignment="1">
      <alignment horizontal="right"/>
    </xf>
    <xf numFmtId="170" fontId="0" fillId="33" borderId="23" xfId="42" applyNumberFormat="1" applyFont="1" applyFill="1" applyBorder="1" applyAlignment="1">
      <alignment horizontal="center"/>
    </xf>
    <xf numFmtId="170" fontId="5" fillId="33" borderId="10" xfId="42" applyNumberFormat="1" applyFont="1" applyFill="1" applyBorder="1" applyAlignment="1">
      <alignment horizontal="center"/>
    </xf>
    <xf numFmtId="170" fontId="4" fillId="33" borderId="23" xfId="42" applyNumberFormat="1" applyFont="1" applyFill="1" applyBorder="1" applyAlignment="1">
      <alignment horizontal="center"/>
    </xf>
    <xf numFmtId="170" fontId="4" fillId="33" borderId="24" xfId="42" applyNumberFormat="1" applyFont="1" applyFill="1" applyBorder="1" applyAlignment="1">
      <alignment horizontal="center"/>
    </xf>
    <xf numFmtId="170" fontId="15" fillId="0" borderId="11" xfId="42" applyNumberFormat="1" applyFont="1" applyFill="1" applyBorder="1" applyAlignment="1">
      <alignment/>
    </xf>
    <xf numFmtId="170" fontId="15" fillId="0" borderId="25" xfId="42" applyNumberFormat="1" applyFont="1" applyFill="1" applyBorder="1" applyAlignment="1">
      <alignment/>
    </xf>
    <xf numFmtId="170" fontId="15" fillId="0" borderId="26" xfId="42" applyNumberFormat="1" applyFont="1" applyFill="1" applyBorder="1" applyAlignment="1">
      <alignment/>
    </xf>
    <xf numFmtId="170" fontId="15" fillId="0" borderId="27" xfId="42" applyNumberFormat="1" applyFont="1" applyFill="1" applyBorder="1" applyAlignment="1">
      <alignment/>
    </xf>
    <xf numFmtId="0" fontId="22" fillId="0" borderId="0" xfId="0" applyFont="1" applyFill="1" applyAlignment="1">
      <alignment horizontal="left"/>
    </xf>
    <xf numFmtId="0" fontId="15" fillId="0" borderId="28" xfId="0" applyNumberFormat="1" applyFont="1" applyFill="1" applyBorder="1" applyAlignment="1" applyProtection="1">
      <alignment horizontal="center"/>
      <protection locked="0"/>
    </xf>
    <xf numFmtId="0" fontId="25" fillId="0" borderId="0" xfId="0" applyFont="1" applyFill="1" applyAlignment="1">
      <alignment horizontal="left"/>
    </xf>
    <xf numFmtId="0" fontId="26" fillId="0" borderId="0" xfId="0" applyFont="1" applyFill="1" applyAlignment="1">
      <alignment/>
    </xf>
    <xf numFmtId="0" fontId="26" fillId="0" borderId="0" xfId="0" applyFont="1" applyFill="1" applyAlignment="1">
      <alignment horizontal="right"/>
    </xf>
    <xf numFmtId="0" fontId="27" fillId="0" borderId="0" xfId="0" applyFont="1" applyFill="1" applyAlignment="1">
      <alignment horizontal="center"/>
    </xf>
    <xf numFmtId="0" fontId="25" fillId="0" borderId="0" xfId="0" applyFont="1" applyFill="1" applyAlignment="1">
      <alignment horizontal="center"/>
    </xf>
    <xf numFmtId="0" fontId="27" fillId="0" borderId="0" xfId="0" applyFont="1" applyFill="1" applyAlignment="1">
      <alignment/>
    </xf>
    <xf numFmtId="170" fontId="15" fillId="34" borderId="23" xfId="42" applyNumberFormat="1" applyFont="1" applyFill="1" applyBorder="1" applyAlignment="1">
      <alignment/>
    </xf>
    <xf numFmtId="170" fontId="15" fillId="34" borderId="23" xfId="42" applyNumberFormat="1" applyFont="1" applyFill="1" applyBorder="1" applyAlignment="1" applyProtection="1">
      <alignment horizontal="center"/>
      <protection locked="0"/>
    </xf>
    <xf numFmtId="0" fontId="0" fillId="34" borderId="29" xfId="0" applyFont="1" applyFill="1" applyBorder="1" applyAlignment="1">
      <alignment/>
    </xf>
    <xf numFmtId="0" fontId="0" fillId="34" borderId="23" xfId="0" applyFont="1" applyFill="1" applyBorder="1" applyAlignment="1">
      <alignment/>
    </xf>
    <xf numFmtId="170" fontId="4" fillId="34" borderId="23" xfId="42" applyNumberFormat="1" applyFont="1" applyFill="1" applyBorder="1" applyAlignment="1" applyProtection="1">
      <alignment horizontal="center"/>
      <protection locked="0"/>
    </xf>
    <xf numFmtId="170" fontId="4" fillId="34" borderId="23" xfId="42" applyNumberFormat="1" applyFont="1" applyFill="1" applyBorder="1" applyAlignment="1">
      <alignment horizontal="center"/>
    </xf>
    <xf numFmtId="0" fontId="8" fillId="33" borderId="30" xfId="0" applyFont="1" applyFill="1" applyBorder="1" applyAlignment="1">
      <alignment/>
    </xf>
    <xf numFmtId="0" fontId="0" fillId="33" borderId="31" xfId="0" applyFill="1" applyBorder="1" applyAlignment="1">
      <alignment/>
    </xf>
    <xf numFmtId="0" fontId="1" fillId="33" borderId="32" xfId="0" applyFont="1" applyFill="1" applyBorder="1" applyAlignment="1">
      <alignment/>
    </xf>
    <xf numFmtId="170" fontId="5" fillId="0" borderId="28" xfId="42" applyNumberFormat="1" applyFont="1" applyFill="1" applyBorder="1" applyAlignment="1">
      <alignment horizontal="center"/>
    </xf>
    <xf numFmtId="170" fontId="5" fillId="33" borderId="33" xfId="42" applyNumberFormat="1" applyFont="1" applyFill="1" applyBorder="1" applyAlignment="1">
      <alignment horizontal="center"/>
    </xf>
    <xf numFmtId="0" fontId="8" fillId="33" borderId="30" xfId="0" applyFont="1" applyFill="1" applyBorder="1" applyAlignment="1">
      <alignment horizontal="left"/>
    </xf>
    <xf numFmtId="0" fontId="8" fillId="33" borderId="31" xfId="0" applyFont="1" applyFill="1" applyBorder="1" applyAlignment="1">
      <alignment horizontal="left"/>
    </xf>
    <xf numFmtId="0" fontId="8" fillId="33" borderId="34" xfId="0" applyFont="1" applyFill="1" applyBorder="1" applyAlignment="1">
      <alignment horizontal="left"/>
    </xf>
    <xf numFmtId="170" fontId="1" fillId="33" borderId="32" xfId="42" applyNumberFormat="1" applyFont="1" applyFill="1" applyBorder="1" applyAlignment="1">
      <alignment horizontal="center"/>
    </xf>
    <xf numFmtId="0" fontId="7" fillId="34" borderId="10" xfId="0" applyFont="1" applyFill="1" applyBorder="1" applyAlignment="1" applyProtection="1">
      <alignment/>
      <protection locked="0"/>
    </xf>
    <xf numFmtId="2" fontId="4" fillId="0" borderId="10" xfId="59" applyNumberFormat="1" applyFont="1" applyFill="1" applyBorder="1" applyAlignment="1" applyProtection="1">
      <alignment/>
      <protection locked="0"/>
    </xf>
    <xf numFmtId="170" fontId="5" fillId="0" borderId="35" xfId="42" applyNumberFormat="1" applyFont="1" applyFill="1" applyBorder="1" applyAlignment="1">
      <alignment horizontal="center"/>
    </xf>
    <xf numFmtId="170" fontId="0" fillId="34" borderId="36" xfId="42" applyNumberFormat="1" applyFont="1" applyFill="1" applyBorder="1" applyAlignment="1">
      <alignment horizontal="center"/>
    </xf>
    <xf numFmtId="0" fontId="28" fillId="0" borderId="37" xfId="0" applyFont="1" applyFill="1" applyBorder="1" applyAlignment="1">
      <alignment horizontal="center" wrapText="1"/>
    </xf>
    <xf numFmtId="0" fontId="28" fillId="0" borderId="38" xfId="0" applyFont="1" applyFill="1" applyBorder="1" applyAlignment="1">
      <alignment horizontal="center" wrapText="1"/>
    </xf>
    <xf numFmtId="0" fontId="28" fillId="0" borderId="12" xfId="0" applyFont="1" applyFill="1" applyBorder="1" applyAlignment="1">
      <alignment horizontal="center" wrapText="1"/>
    </xf>
    <xf numFmtId="0" fontId="28" fillId="33" borderId="39" xfId="0" applyFont="1" applyFill="1" applyBorder="1" applyAlignment="1">
      <alignment horizontal="center" wrapText="1"/>
    </xf>
    <xf numFmtId="0" fontId="7" fillId="34" borderId="10" xfId="0" applyFont="1" applyFill="1" applyBorder="1" applyAlignment="1" applyProtection="1">
      <alignment wrapText="1"/>
      <protection locked="0"/>
    </xf>
    <xf numFmtId="0" fontId="4" fillId="0" borderId="30" xfId="0" applyFont="1" applyFill="1" applyBorder="1" applyAlignment="1">
      <alignment/>
    </xf>
    <xf numFmtId="0" fontId="4" fillId="0" borderId="31" xfId="0" applyFont="1" applyFill="1" applyBorder="1" applyAlignment="1">
      <alignment/>
    </xf>
    <xf numFmtId="170" fontId="5" fillId="0" borderId="31" xfId="42" applyNumberFormat="1" applyFont="1" applyFill="1" applyBorder="1" applyAlignment="1">
      <alignment horizontal="center"/>
    </xf>
    <xf numFmtId="170" fontId="5" fillId="0" borderId="40" xfId="42" applyNumberFormat="1" applyFont="1" applyFill="1" applyBorder="1" applyAlignment="1">
      <alignment horizontal="center"/>
    </xf>
    <xf numFmtId="0" fontId="11" fillId="0" borderId="41" xfId="0" applyFont="1" applyFill="1" applyBorder="1" applyAlignment="1">
      <alignment horizontal="right"/>
    </xf>
    <xf numFmtId="170" fontId="15" fillId="0" borderId="41" xfId="42" applyNumberFormat="1" applyFont="1" applyFill="1" applyBorder="1" applyAlignment="1">
      <alignment/>
    </xf>
    <xf numFmtId="170" fontId="15" fillId="0" borderId="42" xfId="42" applyNumberFormat="1" applyFont="1" applyFill="1" applyBorder="1" applyAlignment="1">
      <alignment/>
    </xf>
    <xf numFmtId="0" fontId="4" fillId="0" borderId="43" xfId="0" applyFont="1" applyFill="1" applyBorder="1" applyAlignment="1">
      <alignment/>
    </xf>
    <xf numFmtId="0" fontId="11" fillId="0" borderId="26" xfId="0" applyFont="1" applyFill="1" applyBorder="1" applyAlignment="1">
      <alignment horizontal="right"/>
    </xf>
    <xf numFmtId="0" fontId="4" fillId="0" borderId="44" xfId="0" applyFont="1" applyFill="1" applyBorder="1" applyAlignment="1">
      <alignment/>
    </xf>
    <xf numFmtId="0" fontId="11" fillId="0" borderId="45" xfId="0" applyFont="1" applyFill="1" applyBorder="1" applyAlignment="1">
      <alignment horizontal="right"/>
    </xf>
    <xf numFmtId="170" fontId="15" fillId="0" borderId="45" xfId="42" applyNumberFormat="1" applyFont="1" applyFill="1" applyBorder="1" applyAlignment="1">
      <alignment/>
    </xf>
    <xf numFmtId="170" fontId="15" fillId="0" borderId="46" xfId="42" applyNumberFormat="1" applyFont="1" applyFill="1" applyBorder="1" applyAlignment="1">
      <alignment/>
    </xf>
    <xf numFmtId="170" fontId="5" fillId="33" borderId="47" xfId="42" applyNumberFormat="1" applyFont="1" applyFill="1" applyBorder="1" applyAlignment="1">
      <alignment horizontal="center"/>
    </xf>
    <xf numFmtId="170" fontId="1" fillId="0" borderId="21" xfId="42" applyNumberFormat="1" applyFont="1" applyFill="1" applyBorder="1" applyAlignment="1">
      <alignment horizontal="center"/>
    </xf>
    <xf numFmtId="0" fontId="11" fillId="0" borderId="27" xfId="0" applyFont="1" applyFill="1" applyBorder="1" applyAlignment="1">
      <alignment/>
    </xf>
    <xf numFmtId="188" fontId="21" fillId="0" borderId="0" xfId="59" applyNumberFormat="1" applyFont="1" applyFill="1" applyBorder="1" applyAlignment="1">
      <alignment horizontal="center"/>
    </xf>
    <xf numFmtId="0" fontId="6" fillId="0" borderId="48" xfId="0" applyFont="1" applyFill="1" applyBorder="1" applyAlignment="1">
      <alignment horizontal="center" wrapText="1"/>
    </xf>
    <xf numFmtId="0" fontId="4" fillId="34" borderId="11" xfId="0" applyFont="1" applyFill="1" applyBorder="1" applyAlignment="1" applyProtection="1">
      <alignment/>
      <protection locked="0"/>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30" fillId="0" borderId="0" xfId="53" applyAlignment="1" applyProtection="1">
      <alignment/>
      <protection/>
    </xf>
    <xf numFmtId="0" fontId="32" fillId="0" borderId="0" xfId="0" applyFont="1" applyAlignment="1">
      <alignment horizontal="right"/>
    </xf>
    <xf numFmtId="0" fontId="32" fillId="0" borderId="48" xfId="0" applyFont="1" applyBorder="1" applyAlignment="1">
      <alignment/>
    </xf>
    <xf numFmtId="0" fontId="34" fillId="0" borderId="0" xfId="0" applyFont="1" applyAlignment="1">
      <alignment horizontal="centerContinuous"/>
    </xf>
    <xf numFmtId="0" fontId="32" fillId="0" borderId="0" xfId="0" applyFont="1" applyAlignment="1">
      <alignment horizontal="centerContinuous"/>
    </xf>
    <xf numFmtId="0" fontId="34" fillId="0" borderId="0" xfId="0" applyFont="1" applyAlignment="1">
      <alignment horizontal="centerContinuous" vertical="top"/>
    </xf>
    <xf numFmtId="0" fontId="35" fillId="0" borderId="0" xfId="0" applyFont="1" applyAlignment="1">
      <alignment/>
    </xf>
    <xf numFmtId="0" fontId="0" fillId="0" borderId="0" xfId="0" applyAlignment="1">
      <alignment/>
    </xf>
    <xf numFmtId="0" fontId="35" fillId="0" borderId="0" xfId="0" applyFont="1" applyAlignment="1">
      <alignment vertical="top"/>
    </xf>
    <xf numFmtId="0" fontId="36" fillId="0" borderId="0" xfId="0" applyFont="1" applyFill="1" applyAlignment="1">
      <alignment horizontal="center"/>
    </xf>
    <xf numFmtId="0" fontId="32" fillId="0" borderId="49" xfId="0" applyFont="1" applyBorder="1" applyAlignment="1">
      <alignment/>
    </xf>
    <xf numFmtId="0" fontId="32" fillId="0" borderId="36" xfId="0" applyFont="1" applyBorder="1" applyAlignment="1">
      <alignment horizontal="center"/>
    </xf>
    <xf numFmtId="0" fontId="32" fillId="0" borderId="28" xfId="0" applyFont="1" applyBorder="1" applyAlignment="1">
      <alignment horizontal="center"/>
    </xf>
    <xf numFmtId="0" fontId="32" fillId="0" borderId="33" xfId="0" applyFont="1" applyBorder="1" applyAlignment="1">
      <alignment horizontal="center"/>
    </xf>
    <xf numFmtId="0" fontId="32" fillId="0" borderId="46" xfId="0" applyFont="1" applyBorder="1" applyAlignment="1">
      <alignment horizontal="center"/>
    </xf>
    <xf numFmtId="0" fontId="35" fillId="0" borderId="50" xfId="0" applyFont="1" applyBorder="1" applyAlignment="1">
      <alignment horizontal="right"/>
    </xf>
    <xf numFmtId="193" fontId="32" fillId="0" borderId="51" xfId="0" applyNumberFormat="1" applyFont="1" applyBorder="1" applyAlignment="1">
      <alignment horizontal="center"/>
    </xf>
    <xf numFmtId="193" fontId="32" fillId="0" borderId="28" xfId="0" applyNumberFormat="1" applyFont="1" applyBorder="1" applyAlignment="1">
      <alignment horizontal="center"/>
    </xf>
    <xf numFmtId="193" fontId="32" fillId="0" borderId="33" xfId="0" applyNumberFormat="1" applyFont="1" applyBorder="1" applyAlignment="1">
      <alignment horizontal="center"/>
    </xf>
    <xf numFmtId="0" fontId="32" fillId="0" borderId="52" xfId="0" applyFont="1" applyBorder="1" applyAlignment="1">
      <alignment horizontal="center"/>
    </xf>
    <xf numFmtId="0" fontId="32" fillId="0" borderId="53" xfId="0" applyFont="1" applyBorder="1" applyAlignment="1">
      <alignment horizontal="center"/>
    </xf>
    <xf numFmtId="1" fontId="0" fillId="0" borderId="0" xfId="0" applyNumberFormat="1" applyAlignment="1">
      <alignment/>
    </xf>
    <xf numFmtId="0" fontId="35" fillId="0" borderId="12" xfId="0" applyFont="1" applyBorder="1" applyAlignment="1">
      <alignment horizontal="right"/>
    </xf>
    <xf numFmtId="193" fontId="32" fillId="0" borderId="37" xfId="0" applyNumberFormat="1" applyFont="1" applyBorder="1" applyAlignment="1">
      <alignment horizontal="center"/>
    </xf>
    <xf numFmtId="193" fontId="32" fillId="0" borderId="38" xfId="0" applyNumberFormat="1" applyFont="1" applyBorder="1" applyAlignment="1">
      <alignment horizontal="center" wrapText="1"/>
    </xf>
    <xf numFmtId="193" fontId="32" fillId="0" borderId="39" xfId="0" applyNumberFormat="1" applyFont="1" applyBorder="1" applyAlignment="1">
      <alignment horizontal="center" wrapText="1"/>
    </xf>
    <xf numFmtId="0" fontId="32" fillId="0" borderId="54" xfId="0" applyFont="1" applyBorder="1" applyAlignment="1">
      <alignment horizontal="center" vertical="top" wrapText="1"/>
    </xf>
    <xf numFmtId="0" fontId="32" fillId="0" borderId="38" xfId="0" applyFont="1" applyBorder="1" applyAlignment="1">
      <alignment horizontal="center" wrapText="1"/>
    </xf>
    <xf numFmtId="0" fontId="37" fillId="0" borderId="0" xfId="0" applyFont="1" applyAlignment="1">
      <alignment vertical="top"/>
    </xf>
    <xf numFmtId="0" fontId="38" fillId="35" borderId="47" xfId="0" applyFont="1" applyFill="1" applyBorder="1" applyAlignment="1">
      <alignment/>
    </xf>
    <xf numFmtId="0" fontId="32" fillId="35" borderId="11" xfId="0" applyFont="1" applyFill="1" applyBorder="1" applyAlignment="1">
      <alignment/>
    </xf>
    <xf numFmtId="0" fontId="32" fillId="35" borderId="25" xfId="0" applyFont="1" applyFill="1" applyBorder="1" applyAlignment="1">
      <alignment/>
    </xf>
    <xf numFmtId="0" fontId="32" fillId="0" borderId="47" xfId="0" applyFont="1" applyBorder="1" applyAlignment="1">
      <alignment vertical="top" wrapText="1"/>
    </xf>
    <xf numFmtId="190" fontId="32" fillId="0" borderId="36" xfId="0" applyNumberFormat="1" applyFont="1" applyBorder="1" applyAlignment="1">
      <alignment horizontal="center" vertical="center"/>
    </xf>
    <xf numFmtId="190" fontId="32" fillId="0" borderId="10" xfId="0" applyNumberFormat="1" applyFont="1" applyBorder="1" applyAlignment="1">
      <alignment horizontal="center" vertical="center"/>
    </xf>
    <xf numFmtId="190" fontId="32" fillId="0" borderId="23" xfId="0" applyNumberFormat="1" applyFont="1" applyBorder="1" applyAlignment="1">
      <alignment horizontal="center" vertical="center"/>
    </xf>
    <xf numFmtId="190" fontId="32" fillId="0" borderId="25" xfId="0" applyNumberFormat="1" applyFont="1" applyBorder="1" applyAlignment="1">
      <alignment horizontal="center" vertical="center"/>
    </xf>
    <xf numFmtId="0" fontId="31" fillId="0" borderId="0" xfId="0" applyFont="1" applyAlignment="1">
      <alignment vertical="top" wrapText="1"/>
    </xf>
    <xf numFmtId="0" fontId="32" fillId="0" borderId="49" xfId="0" applyFont="1" applyBorder="1" applyAlignment="1">
      <alignment vertical="top" wrapText="1"/>
    </xf>
    <xf numFmtId="190" fontId="32" fillId="0" borderId="51" xfId="0" applyNumberFormat="1" applyFont="1" applyBorder="1" applyAlignment="1">
      <alignment horizontal="center" vertical="center"/>
    </xf>
    <xf numFmtId="190" fontId="32" fillId="0" borderId="28" xfId="0" applyNumberFormat="1" applyFont="1" applyBorder="1" applyAlignment="1">
      <alignment horizontal="center" vertical="center"/>
    </xf>
    <xf numFmtId="190" fontId="32" fillId="0" borderId="33" xfId="0" applyNumberFormat="1" applyFont="1" applyBorder="1" applyAlignment="1">
      <alignment horizontal="center" vertical="center"/>
    </xf>
    <xf numFmtId="0" fontId="38" fillId="35" borderId="49" xfId="0" applyFont="1" applyFill="1" applyBorder="1" applyAlignment="1">
      <alignment/>
    </xf>
    <xf numFmtId="0" fontId="32" fillId="35" borderId="45" xfId="0" applyFont="1" applyFill="1" applyBorder="1" applyAlignment="1">
      <alignment/>
    </xf>
    <xf numFmtId="0" fontId="32" fillId="35" borderId="46" xfId="0" applyFont="1" applyFill="1" applyBorder="1" applyAlignment="1">
      <alignment/>
    </xf>
    <xf numFmtId="0" fontId="35" fillId="35" borderId="50" xfId="0" applyFont="1" applyFill="1" applyBorder="1" applyAlignment="1">
      <alignment/>
    </xf>
    <xf numFmtId="0" fontId="32" fillId="35" borderId="0" xfId="0" applyFont="1" applyFill="1" applyBorder="1" applyAlignment="1">
      <alignment/>
    </xf>
    <xf numFmtId="0" fontId="32" fillId="35" borderId="52" xfId="0" applyFont="1" applyFill="1" applyBorder="1" applyAlignment="1">
      <alignment/>
    </xf>
    <xf numFmtId="0" fontId="35" fillId="35" borderId="12" xfId="0" applyFont="1" applyFill="1" applyBorder="1" applyAlignment="1">
      <alignment/>
    </xf>
    <xf numFmtId="0" fontId="32" fillId="35" borderId="48" xfId="0" applyFont="1" applyFill="1" applyBorder="1" applyAlignment="1">
      <alignment/>
    </xf>
    <xf numFmtId="0" fontId="32" fillId="35" borderId="54" xfId="0" applyFont="1" applyFill="1" applyBorder="1" applyAlignment="1">
      <alignment/>
    </xf>
    <xf numFmtId="0" fontId="32" fillId="0" borderId="50" xfId="0" applyFont="1" applyBorder="1" applyAlignment="1">
      <alignment/>
    </xf>
    <xf numFmtId="190" fontId="32" fillId="0" borderId="51" xfId="0" applyNumberFormat="1" applyFont="1" applyBorder="1" applyAlignment="1">
      <alignment horizontal="center"/>
    </xf>
    <xf numFmtId="190" fontId="32" fillId="0" borderId="52" xfId="0" applyNumberFormat="1" applyFont="1" applyBorder="1" applyAlignment="1">
      <alignment horizontal="center"/>
    </xf>
    <xf numFmtId="190" fontId="32" fillId="0" borderId="33" xfId="0" applyNumberFormat="1" applyFont="1" applyBorder="1" applyAlignment="1">
      <alignment horizontal="center"/>
    </xf>
    <xf numFmtId="190" fontId="32" fillId="0" borderId="53" xfId="0" applyNumberFormat="1" applyFont="1" applyBorder="1" applyAlignment="1">
      <alignment horizontal="center"/>
    </xf>
    <xf numFmtId="190" fontId="32" fillId="0" borderId="46" xfId="0" applyNumberFormat="1" applyFont="1" applyBorder="1" applyAlignment="1">
      <alignment horizontal="center"/>
    </xf>
    <xf numFmtId="190" fontId="32" fillId="0" borderId="55" xfId="0" applyNumberFormat="1" applyFont="1" applyBorder="1" applyAlignment="1">
      <alignment horizontal="center"/>
    </xf>
    <xf numFmtId="190" fontId="32" fillId="0" borderId="56" xfId="0" applyNumberFormat="1" applyFont="1" applyBorder="1" applyAlignment="1">
      <alignment horizontal="center"/>
    </xf>
    <xf numFmtId="0" fontId="32" fillId="0" borderId="39" xfId="0" applyFont="1" applyBorder="1" applyAlignment="1">
      <alignment/>
    </xf>
    <xf numFmtId="190" fontId="32" fillId="0" borderId="37" xfId="0" applyNumberFormat="1" applyFont="1" applyBorder="1" applyAlignment="1">
      <alignment horizontal="center"/>
    </xf>
    <xf numFmtId="190" fontId="32" fillId="0" borderId="38" xfId="0" applyNumberFormat="1" applyFont="1" applyBorder="1" applyAlignment="1">
      <alignment horizontal="center"/>
    </xf>
    <xf numFmtId="190" fontId="32" fillId="0" borderId="39" xfId="0" applyNumberFormat="1" applyFont="1" applyBorder="1" applyAlignment="1">
      <alignment horizontal="center"/>
    </xf>
    <xf numFmtId="190" fontId="32" fillId="0" borderId="0" xfId="0" applyNumberFormat="1" applyFont="1" applyBorder="1" applyAlignment="1">
      <alignment horizontal="center"/>
    </xf>
    <xf numFmtId="190" fontId="0" fillId="0" borderId="0" xfId="0" applyNumberFormat="1" applyAlignment="1">
      <alignment/>
    </xf>
    <xf numFmtId="0" fontId="32" fillId="35" borderId="50" xfId="0" applyFont="1" applyFill="1" applyBorder="1" applyAlignment="1">
      <alignment/>
    </xf>
    <xf numFmtId="0" fontId="32" fillId="35" borderId="12" xfId="0" applyFont="1" applyFill="1" applyBorder="1" applyAlignment="1">
      <alignment/>
    </xf>
    <xf numFmtId="190" fontId="32" fillId="0" borderId="28" xfId="0" applyNumberFormat="1" applyFont="1" applyBorder="1" applyAlignment="1">
      <alignment horizontal="center"/>
    </xf>
    <xf numFmtId="0" fontId="32" fillId="0" borderId="12" xfId="0" applyFont="1" applyBorder="1" applyAlignment="1">
      <alignment/>
    </xf>
    <xf numFmtId="190" fontId="32" fillId="0" borderId="54" xfId="0" applyNumberFormat="1" applyFont="1" applyBorder="1" applyAlignment="1">
      <alignment horizontal="center"/>
    </xf>
    <xf numFmtId="0" fontId="32" fillId="36" borderId="50" xfId="0" applyFont="1" applyFill="1" applyBorder="1" applyAlignment="1">
      <alignment/>
    </xf>
    <xf numFmtId="0" fontId="32" fillId="36" borderId="0" xfId="0" applyFont="1" applyFill="1" applyBorder="1" applyAlignment="1">
      <alignment horizontal="center"/>
    </xf>
    <xf numFmtId="0" fontId="32" fillId="36" borderId="52" xfId="0" applyFont="1" applyFill="1" applyBorder="1" applyAlignment="1">
      <alignment horizontal="center"/>
    </xf>
    <xf numFmtId="0" fontId="32" fillId="36" borderId="53" xfId="0" applyFont="1" applyFill="1" applyBorder="1" applyAlignment="1">
      <alignment horizontal="center"/>
    </xf>
    <xf numFmtId="0" fontId="39" fillId="0" borderId="47" xfId="0" applyFont="1" applyBorder="1" applyAlignment="1">
      <alignment wrapText="1"/>
    </xf>
    <xf numFmtId="190" fontId="32" fillId="0" borderId="36" xfId="0" applyNumberFormat="1" applyFont="1" applyBorder="1" applyAlignment="1">
      <alignment horizontal="center"/>
    </xf>
    <xf numFmtId="190" fontId="32" fillId="0" borderId="10" xfId="0" applyNumberFormat="1" applyFont="1" applyBorder="1" applyAlignment="1">
      <alignment horizontal="center"/>
    </xf>
    <xf numFmtId="190" fontId="32" fillId="0" borderId="47" xfId="0" applyNumberFormat="1" applyFont="1" applyBorder="1" applyAlignment="1">
      <alignment horizontal="center"/>
    </xf>
    <xf numFmtId="0" fontId="32" fillId="0" borderId="49" xfId="0" applyFont="1" applyBorder="1" applyAlignment="1">
      <alignment vertical="center"/>
    </xf>
    <xf numFmtId="0" fontId="32" fillId="0" borderId="45" xfId="0" applyFont="1" applyBorder="1" applyAlignment="1">
      <alignment/>
    </xf>
    <xf numFmtId="0" fontId="32" fillId="0" borderId="0" xfId="0" applyFont="1" applyBorder="1" applyAlignment="1">
      <alignment/>
    </xf>
    <xf numFmtId="0" fontId="32" fillId="0" borderId="52" xfId="0" applyFont="1" applyBorder="1" applyAlignment="1">
      <alignment/>
    </xf>
    <xf numFmtId="0" fontId="32" fillId="0" borderId="50" xfId="0" applyFont="1" applyBorder="1" applyAlignment="1">
      <alignment vertical="center"/>
    </xf>
    <xf numFmtId="0" fontId="39" fillId="0" borderId="50" xfId="0" applyFont="1" applyBorder="1" applyAlignment="1">
      <alignment/>
    </xf>
    <xf numFmtId="6" fontId="32" fillId="0" borderId="48" xfId="0" applyNumberFormat="1" applyFont="1" applyBorder="1" applyAlignment="1">
      <alignment horizontal="center"/>
    </xf>
    <xf numFmtId="0" fontId="39" fillId="0" borderId="0" xfId="0" applyFont="1" applyBorder="1" applyAlignment="1">
      <alignment horizontal="center"/>
    </xf>
    <xf numFmtId="0" fontId="32" fillId="0" borderId="48" xfId="0" applyFont="1" applyBorder="1" applyAlignment="1">
      <alignment horizontal="center"/>
    </xf>
    <xf numFmtId="0" fontId="39" fillId="0" borderId="0" xfId="0" applyFont="1" applyBorder="1" applyAlignment="1">
      <alignment horizontal="centerContinuous"/>
    </xf>
    <xf numFmtId="0" fontId="32" fillId="0" borderId="0" xfId="0" applyFont="1" applyBorder="1" applyAlignment="1">
      <alignment horizontal="centerContinuous"/>
    </xf>
    <xf numFmtId="191" fontId="0" fillId="0" borderId="0" xfId="0" applyNumberFormat="1" applyAlignment="1">
      <alignment/>
    </xf>
    <xf numFmtId="0" fontId="32" fillId="0" borderId="12" xfId="0" applyFont="1" applyBorder="1" applyAlignment="1">
      <alignment vertical="center"/>
    </xf>
    <xf numFmtId="0" fontId="32" fillId="0" borderId="51" xfId="0" applyFont="1" applyBorder="1" applyAlignment="1">
      <alignment/>
    </xf>
    <xf numFmtId="0" fontId="32" fillId="0" borderId="28" xfId="0" applyFont="1" applyBorder="1" applyAlignment="1">
      <alignment/>
    </xf>
    <xf numFmtId="0" fontId="32" fillId="0" borderId="33" xfId="0" applyFont="1" applyBorder="1" applyAlignment="1">
      <alignment/>
    </xf>
    <xf numFmtId="0" fontId="32" fillId="0" borderId="13" xfId="0" applyFont="1" applyBorder="1" applyAlignment="1">
      <alignment horizontal="centerContinuous" vertical="top" wrapText="1"/>
    </xf>
    <xf numFmtId="190" fontId="32" fillId="0" borderId="25" xfId="0" applyNumberFormat="1" applyFont="1" applyFill="1" applyBorder="1" applyAlignment="1">
      <alignment horizontal="centerContinuous"/>
    </xf>
    <xf numFmtId="0" fontId="32" fillId="0" borderId="12" xfId="0" applyFont="1" applyBorder="1" applyAlignment="1">
      <alignment wrapText="1"/>
    </xf>
    <xf numFmtId="190" fontId="38" fillId="0" borderId="37" xfId="0" applyNumberFormat="1" applyFont="1" applyBorder="1" applyAlignment="1">
      <alignment horizontal="center"/>
    </xf>
    <xf numFmtId="190" fontId="38" fillId="0" borderId="48" xfId="0" applyNumberFormat="1" applyFont="1" applyBorder="1" applyAlignment="1">
      <alignment horizontal="centerContinuous"/>
    </xf>
    <xf numFmtId="190" fontId="32" fillId="0" borderId="54" xfId="0" applyNumberFormat="1" applyFont="1" applyFill="1" applyBorder="1" applyAlignment="1">
      <alignment horizontal="centerContinuous"/>
    </xf>
    <xf numFmtId="190" fontId="32" fillId="0" borderId="11" xfId="0" applyNumberFormat="1" applyFont="1" applyBorder="1" applyAlignment="1">
      <alignment horizontal="centerContinuous" vertical="center"/>
    </xf>
    <xf numFmtId="190" fontId="32" fillId="0" borderId="54" xfId="0" applyNumberFormat="1" applyFont="1" applyFill="1" applyBorder="1" applyAlignment="1">
      <alignment horizontal="centerContinuous" vertical="center"/>
    </xf>
    <xf numFmtId="0" fontId="32" fillId="0" borderId="50" xfId="0" applyFont="1" applyBorder="1" applyAlignment="1">
      <alignment wrapText="1"/>
    </xf>
    <xf numFmtId="190" fontId="32" fillId="0" borderId="23" xfId="0" applyNumberFormat="1" applyFont="1" applyBorder="1" applyAlignment="1">
      <alignment horizontal="center"/>
    </xf>
    <xf numFmtId="190" fontId="32" fillId="0" borderId="11" xfId="0" applyNumberFormat="1" applyFont="1" applyBorder="1" applyAlignment="1">
      <alignment horizontal="centerContinuous"/>
    </xf>
    <xf numFmtId="0" fontId="32" fillId="0" borderId="47" xfId="0" applyFont="1" applyBorder="1" applyAlignment="1">
      <alignment wrapText="1"/>
    </xf>
    <xf numFmtId="190" fontId="32" fillId="0" borderId="48" xfId="0" applyNumberFormat="1" applyFont="1" applyBorder="1" applyAlignment="1">
      <alignment horizontal="centerContinuous" vertical="center"/>
    </xf>
    <xf numFmtId="0" fontId="32" fillId="0" borderId="25" xfId="0" applyFont="1" applyFill="1" applyBorder="1" applyAlignment="1">
      <alignment horizontal="centerContinuous"/>
    </xf>
    <xf numFmtId="0" fontId="33" fillId="0" borderId="12" xfId="0" applyFont="1" applyBorder="1" applyAlignment="1">
      <alignment wrapText="1"/>
    </xf>
    <xf numFmtId="190" fontId="32" fillId="0" borderId="38" xfId="0" applyNumberFormat="1" applyFont="1" applyBorder="1" applyAlignment="1">
      <alignment horizontal="center" vertical="center"/>
    </xf>
    <xf numFmtId="190" fontId="38" fillId="0" borderId="36" xfId="0" applyNumberFormat="1" applyFont="1" applyBorder="1" applyAlignment="1">
      <alignment horizontal="center"/>
    </xf>
    <xf numFmtId="190" fontId="38" fillId="0" borderId="11" xfId="0" applyNumberFormat="1" applyFont="1" applyBorder="1" applyAlignment="1">
      <alignment horizontal="centerContinuous" vertical="center"/>
    </xf>
    <xf numFmtId="0" fontId="32" fillId="0" borderId="0" xfId="0" applyFont="1" applyBorder="1" applyAlignment="1">
      <alignment wrapText="1"/>
    </xf>
    <xf numFmtId="190" fontId="38" fillId="0" borderId="0" xfId="0" applyNumberFormat="1" applyFont="1" applyBorder="1" applyAlignment="1">
      <alignment horizontal="center"/>
    </xf>
    <xf numFmtId="190" fontId="38" fillId="0" borderId="0" xfId="0" applyNumberFormat="1" applyFont="1" applyBorder="1" applyAlignment="1">
      <alignment horizontal="centerContinuous" vertical="center"/>
    </xf>
    <xf numFmtId="190" fontId="32" fillId="0" borderId="0" xfId="0" applyNumberFormat="1" applyFont="1" applyFill="1" applyBorder="1" applyAlignment="1">
      <alignment horizontal="centerContinuous"/>
    </xf>
    <xf numFmtId="2" fontId="32" fillId="0" borderId="0" xfId="0" applyNumberFormat="1" applyFont="1" applyAlignment="1">
      <alignment/>
    </xf>
    <xf numFmtId="193" fontId="32" fillId="0" borderId="0" xfId="0" applyNumberFormat="1" applyFont="1" applyAlignment="1">
      <alignment/>
    </xf>
    <xf numFmtId="0" fontId="38" fillId="0" borderId="0" xfId="0" applyFont="1" applyAlignment="1">
      <alignment/>
    </xf>
    <xf numFmtId="1" fontId="32" fillId="0" borderId="0" xfId="0" applyNumberFormat="1" applyFont="1" applyAlignment="1">
      <alignment/>
    </xf>
    <xf numFmtId="14" fontId="32" fillId="0" borderId="0" xfId="0" applyNumberFormat="1" applyFont="1" applyAlignment="1">
      <alignment/>
    </xf>
    <xf numFmtId="0" fontId="32" fillId="0" borderId="0" xfId="0" applyNumberFormat="1" applyFont="1" applyAlignment="1">
      <alignment/>
    </xf>
    <xf numFmtId="170" fontId="15" fillId="0" borderId="0" xfId="42" applyNumberFormat="1" applyFont="1" applyFill="1" applyBorder="1" applyAlignment="1">
      <alignment/>
    </xf>
    <xf numFmtId="174" fontId="4" fillId="34" borderId="10" xfId="59" applyNumberFormat="1" applyFont="1" applyFill="1" applyBorder="1" applyAlignment="1" applyProtection="1">
      <alignment/>
      <protection locked="0"/>
    </xf>
    <xf numFmtId="0" fontId="11" fillId="0" borderId="46" xfId="0" applyFont="1" applyFill="1" applyBorder="1" applyAlignment="1">
      <alignment/>
    </xf>
    <xf numFmtId="174" fontId="4" fillId="0" borderId="10" xfId="59" applyNumberFormat="1" applyFont="1" applyFill="1" applyBorder="1" applyAlignment="1" applyProtection="1">
      <alignment/>
      <protection locked="0"/>
    </xf>
    <xf numFmtId="0" fontId="8" fillId="0" borderId="31" xfId="0" applyFont="1" applyFill="1" applyBorder="1" applyAlignment="1">
      <alignment horizontal="left"/>
    </xf>
    <xf numFmtId="0" fontId="15" fillId="0" borderId="0" xfId="0" applyFont="1" applyFill="1" applyBorder="1" applyAlignment="1">
      <alignment/>
    </xf>
    <xf numFmtId="0" fontId="31" fillId="0" borderId="0" xfId="0" applyFont="1" applyFill="1" applyBorder="1" applyAlignment="1">
      <alignment horizontal="right"/>
    </xf>
    <xf numFmtId="170" fontId="15" fillId="0" borderId="0" xfId="42" applyNumberFormat="1" applyFont="1" applyFill="1" applyBorder="1" applyAlignment="1">
      <alignment horizontal="right"/>
    </xf>
    <xf numFmtId="170" fontId="15" fillId="0" borderId="0" xfId="42" applyNumberFormat="1" applyFont="1" applyFill="1" applyBorder="1" applyAlignment="1">
      <alignment horizontal="center"/>
    </xf>
    <xf numFmtId="170" fontId="31" fillId="0" borderId="0" xfId="42" applyNumberFormat="1" applyFont="1" applyFill="1" applyBorder="1" applyAlignment="1">
      <alignment horizontal="center"/>
    </xf>
    <xf numFmtId="0" fontId="8" fillId="0" borderId="0" xfId="0" applyFont="1" applyFill="1" applyAlignment="1">
      <alignment horizontal="center"/>
    </xf>
    <xf numFmtId="173" fontId="5" fillId="0" borderId="0" xfId="44" applyNumberFormat="1" applyFont="1" applyFill="1" applyBorder="1" applyAlignment="1" applyProtection="1" quotePrefix="1">
      <alignment horizontal="center"/>
      <protection locked="0"/>
    </xf>
    <xf numFmtId="0" fontId="5" fillId="0" borderId="0" xfId="0" applyFont="1" applyFill="1" applyBorder="1" applyAlignment="1">
      <alignment horizontal="center"/>
    </xf>
    <xf numFmtId="0" fontId="1" fillId="33" borderId="32" xfId="0" applyFont="1" applyFill="1" applyBorder="1" applyAlignment="1">
      <alignment horizontal="center"/>
    </xf>
    <xf numFmtId="0" fontId="1" fillId="0" borderId="0" xfId="0" applyFont="1" applyFill="1" applyAlignment="1">
      <alignment horizontal="center"/>
    </xf>
    <xf numFmtId="0" fontId="23" fillId="0" borderId="0" xfId="0" applyFont="1" applyFill="1" applyAlignment="1">
      <alignment horizontal="center"/>
    </xf>
    <xf numFmtId="0" fontId="5" fillId="0" borderId="0" xfId="0" applyFont="1" applyFill="1" applyAlignment="1">
      <alignment horizontal="center"/>
    </xf>
    <xf numFmtId="167" fontId="15" fillId="34" borderId="10" xfId="0" applyNumberFormat="1" applyFont="1" applyFill="1" applyBorder="1" applyAlignment="1" applyProtection="1">
      <alignment horizontal="center"/>
      <protection locked="0"/>
    </xf>
    <xf numFmtId="173" fontId="4" fillId="34" borderId="10" xfId="44" applyNumberFormat="1" applyFont="1" applyFill="1" applyBorder="1" applyAlignment="1" applyProtection="1" quotePrefix="1">
      <alignment horizontal="left"/>
      <protection locked="0"/>
    </xf>
    <xf numFmtId="174" fontId="4" fillId="34" borderId="10" xfId="59" applyNumberFormat="1" applyFont="1" applyFill="1" applyBorder="1" applyAlignment="1" applyProtection="1" quotePrefix="1">
      <alignment horizontal="center"/>
      <protection locked="0"/>
    </xf>
    <xf numFmtId="9" fontId="4" fillId="34" borderId="10" xfId="59" applyFont="1" applyFill="1" applyBorder="1" applyAlignment="1" applyProtection="1" quotePrefix="1">
      <alignment horizontal="center"/>
      <protection locked="0"/>
    </xf>
    <xf numFmtId="0" fontId="27" fillId="34" borderId="10" xfId="0" applyFont="1" applyFill="1" applyBorder="1" applyAlignment="1">
      <alignment horizontal="center"/>
    </xf>
    <xf numFmtId="10" fontId="21" fillId="34" borderId="10" xfId="59" applyNumberFormat="1" applyFont="1" applyFill="1" applyBorder="1" applyAlignment="1">
      <alignment horizontal="center"/>
    </xf>
    <xf numFmtId="188" fontId="21" fillId="34" borderId="10" xfId="59" applyNumberFormat="1" applyFont="1" applyFill="1" applyBorder="1" applyAlignment="1">
      <alignment horizontal="center"/>
    </xf>
    <xf numFmtId="170" fontId="4" fillId="0" borderId="23" xfId="42" applyNumberFormat="1" applyFont="1" applyFill="1" applyBorder="1" applyAlignment="1" applyProtection="1">
      <alignment horizontal="center"/>
      <protection locked="0"/>
    </xf>
    <xf numFmtId="0" fontId="5" fillId="33" borderId="30" xfId="0" applyFont="1" applyFill="1" applyBorder="1" applyAlignment="1">
      <alignment horizontal="center"/>
    </xf>
    <xf numFmtId="0" fontId="0" fillId="0" borderId="31" xfId="0" applyBorder="1" applyAlignment="1">
      <alignment/>
    </xf>
    <xf numFmtId="0" fontId="0" fillId="0" borderId="34"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11</xdr:col>
      <xdr:colOff>0</xdr:colOff>
      <xdr:row>73</xdr:row>
      <xdr:rowOff>133350</xdr:rowOff>
    </xdr:to>
    <xdr:sp>
      <xdr:nvSpPr>
        <xdr:cNvPr id="1" name="Text Box 6"/>
        <xdr:cNvSpPr txBox="1">
          <a:spLocks noChangeArrowheads="1"/>
        </xdr:cNvSpPr>
      </xdr:nvSpPr>
      <xdr:spPr>
        <a:xfrm>
          <a:off x="0" y="161925"/>
          <a:ext cx="7096125" cy="11791950"/>
        </a:xfrm>
        <a:prstGeom prst="rect">
          <a:avLst/>
        </a:prstGeom>
        <a:solidFill>
          <a:srgbClr val="C0C0FF"/>
        </a:solidFill>
        <a:ln w="9525" cmpd="sng">
          <a:solidFill>
            <a:srgbClr val="000000"/>
          </a:solidFill>
          <a:headEnd type="none"/>
          <a:tailEnd type="none"/>
        </a:ln>
      </xdr:spPr>
      <xdr:txBody>
        <a:bodyPr vertOverflow="clip" wrap="square" lIns="36576" tIns="27432" rIns="0" bIns="0"/>
        <a:p>
          <a:pPr algn="l">
            <a:defRPr/>
          </a:pPr>
          <a:r>
            <a:rPr lang="en-US" cap="none" sz="2000" b="1" i="0" u="none" baseline="0">
              <a:solidFill>
                <a:srgbClr val="000000"/>
              </a:solidFill>
              <a:latin typeface="CG Omega"/>
              <a:ea typeface="CG Omega"/>
              <a:cs typeface="CG Omega"/>
            </a:rPr>
            <a:t>SF424 </a:t>
          </a:r>
          <a:r>
            <a:rPr lang="en-US" cap="none" sz="2000" b="1" i="0" u="sng" baseline="0">
              <a:solidFill>
                <a:srgbClr val="000000"/>
              </a:solidFill>
              <a:latin typeface="CG Omega"/>
              <a:ea typeface="CG Omega"/>
              <a:cs typeface="CG Omega"/>
            </a:rPr>
            <a:t>REGULAR</a:t>
          </a:r>
          <a:r>
            <a:rPr lang="en-US" cap="none" sz="2000" b="1" i="0" u="none" baseline="0">
              <a:solidFill>
                <a:srgbClr val="000000"/>
              </a:solidFill>
              <a:latin typeface="CG Omega"/>
              <a:ea typeface="CG Omega"/>
              <a:cs typeface="CG Omega"/>
            </a:rPr>
            <a:t> NIH BUDGET TEMPLATE
</a:t>
          </a:r>
          <a:r>
            <a:rPr lang="en-US" cap="none" sz="2000" b="1" i="0" u="none" baseline="0">
              <a:solidFill>
                <a:srgbClr val="FFFFFF"/>
              </a:solidFill>
              <a:latin typeface="CG Omega"/>
              <a:ea typeface="CG Omega"/>
              <a:cs typeface="CG Omega"/>
            </a:rPr>
            <a:t>
</a:t>
          </a:r>
          <a:r>
            <a:rPr lang="en-US" cap="none" sz="2000" b="1" i="0" u="none" baseline="0">
              <a:solidFill>
                <a:srgbClr val="FFFFFF"/>
              </a:solidFill>
              <a:latin typeface="CG Omega"/>
              <a:ea typeface="CG Omega"/>
              <a:cs typeface="CG Omega"/>
            </a:rPr>
            <a:t>
</a:t>
          </a:r>
          <a:r>
            <a:rPr lang="en-US" cap="none" sz="2000" b="1" i="0" u="none" baseline="0">
              <a:solidFill>
                <a:srgbClr val="FFFFFF"/>
              </a:solidFill>
              <a:latin typeface="CG Omega"/>
              <a:ea typeface="CG Omega"/>
              <a:cs typeface="CG Omega"/>
            </a:rPr>
            <a:t>
</a:t>
          </a:r>
          <a:r>
            <a:rPr lang="en-US" cap="none" sz="1400" b="1" i="0" u="none" baseline="0">
              <a:solidFill>
                <a:srgbClr val="000000"/>
              </a:solidFill>
              <a:latin typeface="CG Omega"/>
              <a:ea typeface="CG Omega"/>
              <a:cs typeface="CG Omega"/>
            </a:rPr>
            <a:t>
</a:t>
          </a:r>
          <a:r>
            <a:rPr lang="en-US" cap="none" sz="1600" b="1" i="0" u="none" baseline="0">
              <a:solidFill>
                <a:srgbClr val="000000"/>
              </a:solidFill>
              <a:latin typeface="CG Omega"/>
              <a:ea typeface="CG Omega"/>
              <a:cs typeface="CG Omega"/>
            </a:rPr>
            <a:t>CALCULATION PAGE:  Please enter data into the </a:t>
          </a:r>
          <a:r>
            <a:rPr lang="en-US" cap="none" sz="1600" b="1" i="0" u="none" baseline="0">
              <a:solidFill>
                <a:srgbClr val="FFFF00"/>
              </a:solidFill>
              <a:latin typeface="CG Omega"/>
              <a:ea typeface="CG Omega"/>
              <a:cs typeface="CG Omega"/>
            </a:rPr>
            <a:t>YELLOW HIGHLIGHTED</a:t>
          </a:r>
          <a:r>
            <a:rPr lang="en-US" cap="none" sz="1600" b="1" i="0" u="none" baseline="0">
              <a:solidFill>
                <a:srgbClr val="000000"/>
              </a:solidFill>
              <a:latin typeface="CG Omega"/>
              <a:ea typeface="CG Omega"/>
              <a:cs typeface="CG Omega"/>
            </a:rPr>
            <a:t> sections
</a:t>
          </a:r>
          <a:r>
            <a:rPr lang="en-US" cap="none" sz="1400" b="1"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1. Enter the </a:t>
          </a:r>
          <a:r>
            <a:rPr lang="en-US" cap="none" sz="1400" b="1" i="0" u="none" baseline="0">
              <a:solidFill>
                <a:srgbClr val="000000"/>
              </a:solidFill>
              <a:latin typeface="CG Omega"/>
              <a:ea typeface="CG Omega"/>
              <a:cs typeface="CG Omega"/>
            </a:rPr>
            <a:t>project start date</a:t>
          </a:r>
          <a:r>
            <a:rPr lang="en-US" cap="none" sz="1400" b="0" i="0" u="none" baseline="0">
              <a:solidFill>
                <a:srgbClr val="000000"/>
              </a:solidFill>
              <a:latin typeface="CG Omega"/>
              <a:ea typeface="CG Omega"/>
              <a:cs typeface="CG Omega"/>
            </a:rPr>
            <a:t> in B2 and </a:t>
          </a:r>
          <a:r>
            <a:rPr lang="en-US" cap="none" sz="1400" b="1" i="0" u="none" baseline="0">
              <a:solidFill>
                <a:srgbClr val="000000"/>
              </a:solidFill>
              <a:latin typeface="CG Omega"/>
              <a:ea typeface="CG Omega"/>
              <a:cs typeface="CG Omega"/>
            </a:rPr>
            <a:t>project end date</a:t>
          </a:r>
          <a:r>
            <a:rPr lang="en-US" cap="none" sz="1400" b="0" i="0" u="none" baseline="0">
              <a:solidFill>
                <a:srgbClr val="000000"/>
              </a:solidFill>
              <a:latin typeface="CG Omega"/>
              <a:ea typeface="CG Omega"/>
              <a:cs typeface="CG Omega"/>
            </a:rPr>
            <a:t> in B3.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2. In G2, enter the </a:t>
          </a:r>
          <a:r>
            <a:rPr lang="en-US" cap="none" sz="1400" b="1" i="0" u="none" baseline="0">
              <a:solidFill>
                <a:srgbClr val="000000"/>
              </a:solidFill>
              <a:latin typeface="CG Omega"/>
              <a:ea typeface="CG Omega"/>
              <a:cs typeface="CG Omega"/>
            </a:rPr>
            <a:t>inflation rate</a:t>
          </a:r>
          <a:r>
            <a:rPr lang="en-US" cap="none" sz="1400" b="0" i="0" u="none" baseline="0">
              <a:solidFill>
                <a:srgbClr val="000000"/>
              </a:solidFill>
              <a:latin typeface="CG Omega"/>
              <a:ea typeface="CG Omega"/>
              <a:cs typeface="CG Omega"/>
            </a:rPr>
            <a:t> to be used for </a:t>
          </a:r>
          <a:r>
            <a:rPr lang="en-US" cap="none" sz="1400" b="1" i="0" u="none" baseline="0">
              <a:solidFill>
                <a:srgbClr val="000000"/>
              </a:solidFill>
              <a:latin typeface="CG Omega"/>
              <a:ea typeface="CG Omega"/>
              <a:cs typeface="CG Omega"/>
            </a:rPr>
            <a:t>personnel</a:t>
          </a:r>
          <a:r>
            <a:rPr lang="en-US" cap="none" sz="1400" b="0" i="0" u="none" baseline="0">
              <a:solidFill>
                <a:srgbClr val="000000"/>
              </a:solidFill>
              <a:latin typeface="CG Omega"/>
              <a:ea typeface="CG Omega"/>
              <a:cs typeface="CG Omega"/>
            </a:rPr>
            <a:t>; in G3, enter the </a:t>
          </a:r>
          <a:r>
            <a:rPr lang="en-US" cap="none" sz="1400" b="1" i="0" u="none" baseline="0">
              <a:solidFill>
                <a:srgbClr val="000000"/>
              </a:solidFill>
              <a:latin typeface="CG Omega"/>
              <a:ea typeface="CG Omega"/>
              <a:cs typeface="CG Omega"/>
            </a:rPr>
            <a:t>inflation rate</a:t>
          </a:r>
          <a:r>
            <a:rPr lang="en-US" cap="none" sz="1400" b="0" i="0" u="none" baseline="0">
              <a:solidFill>
                <a:srgbClr val="000000"/>
              </a:solidFill>
              <a:latin typeface="CG Omega"/>
              <a:ea typeface="CG Omega"/>
              <a:cs typeface="CG Omega"/>
            </a:rPr>
            <a:t> to be used for </a:t>
          </a:r>
          <a:r>
            <a:rPr lang="en-US" cap="none" sz="1400" b="1" i="0" u="none" baseline="0">
              <a:solidFill>
                <a:srgbClr val="000000"/>
              </a:solidFill>
              <a:latin typeface="CG Omega"/>
              <a:ea typeface="CG Omega"/>
              <a:cs typeface="CG Omega"/>
            </a:rPr>
            <a:t>non-personnel</a:t>
          </a:r>
          <a:r>
            <a:rPr lang="en-US" cap="none" sz="1400" b="0" i="0" u="none" baseline="0">
              <a:solidFill>
                <a:srgbClr val="000000"/>
              </a:solidFill>
              <a:latin typeface="CG Omega"/>
              <a:ea typeface="CG Omega"/>
              <a:cs typeface="CG Omega"/>
            </a:rPr>
            <a:t> categories.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3. In N2, enter the current </a:t>
          </a:r>
          <a:r>
            <a:rPr lang="en-US" cap="none" sz="1400" b="1" i="0" u="none" baseline="0">
              <a:solidFill>
                <a:srgbClr val="000000"/>
              </a:solidFill>
              <a:latin typeface="CG Omega"/>
              <a:ea typeface="CG Omega"/>
              <a:cs typeface="CG Omega"/>
            </a:rPr>
            <a:t>NIH salary cap</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4. In G79, enter the</a:t>
          </a:r>
          <a:r>
            <a:rPr lang="en-US" cap="none" sz="1400" b="1" i="0" u="none" baseline="0">
              <a:solidFill>
                <a:srgbClr val="000000"/>
              </a:solidFill>
              <a:latin typeface="CG Omega"/>
              <a:ea typeface="CG Omega"/>
              <a:cs typeface="CG Omega"/>
            </a:rPr>
            <a:t> fiscal year</a:t>
          </a:r>
          <a:r>
            <a:rPr lang="en-US" cap="none" sz="1400" b="0" i="0" u="none" baseline="0">
              <a:solidFill>
                <a:srgbClr val="000000"/>
              </a:solidFill>
              <a:latin typeface="CG Omega"/>
              <a:ea typeface="CG Omega"/>
              <a:cs typeface="CG Omega"/>
            </a:rPr>
            <a:t> that the award begins. The remaining fiscal years will be automatically calculated.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5. Enter the appropriate </a:t>
          </a:r>
          <a:r>
            <a:rPr lang="en-US" cap="none" sz="1400" b="1" i="0" u="none" baseline="0">
              <a:solidFill>
                <a:srgbClr val="000000"/>
              </a:solidFill>
              <a:latin typeface="CG Omega"/>
              <a:ea typeface="CG Omega"/>
              <a:cs typeface="CG Omega"/>
            </a:rPr>
            <a:t>fringe benefits rate</a:t>
          </a:r>
          <a:r>
            <a:rPr lang="en-US" cap="none" sz="1400" b="0" i="0" u="none" baseline="0">
              <a:solidFill>
                <a:srgbClr val="000000"/>
              </a:solidFill>
              <a:latin typeface="CG Omega"/>
              <a:ea typeface="CG Omega"/>
              <a:cs typeface="CG Omega"/>
            </a:rPr>
            <a:t> for federal awards in cells G80; M80; S80; Y80; AE80; and AJ80. Current Northwestern University federally approved fringe benefits rates are located at: </a:t>
          </a:r>
          <a:r>
            <a:rPr lang="en-US" cap="none" sz="1400" b="0" i="0" u="sng" baseline="0">
              <a:solidFill>
                <a:srgbClr val="0000FF"/>
              </a:solidFill>
              <a:latin typeface="CG Omega"/>
              <a:ea typeface="CG Omega"/>
              <a:cs typeface="CG Omega"/>
            </a:rPr>
            <a:t>http://www.research.northwestern.edu/osr/fringe.html</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6. Enter the </a:t>
          </a:r>
          <a:r>
            <a:rPr lang="en-US" cap="none" sz="1400" b="1" i="0" u="none" baseline="0">
              <a:solidFill>
                <a:srgbClr val="000000"/>
              </a:solidFill>
              <a:latin typeface="CG Omega"/>
              <a:ea typeface="CG Omega"/>
              <a:cs typeface="CG Omega"/>
            </a:rPr>
            <a:t>number of months</a:t>
          </a:r>
          <a:r>
            <a:rPr lang="en-US" cap="none" sz="1400" b="0" i="0" u="none" baseline="0">
              <a:solidFill>
                <a:srgbClr val="000000"/>
              </a:solidFill>
              <a:latin typeface="CG Omega"/>
              <a:ea typeface="CG Omega"/>
              <a:cs typeface="CG Omega"/>
            </a:rPr>
            <a:t> in the first budget period that fall in the </a:t>
          </a:r>
          <a:r>
            <a:rPr lang="en-US" cap="none" sz="1400" b="1" i="0" u="none" baseline="0">
              <a:solidFill>
                <a:srgbClr val="000000"/>
              </a:solidFill>
              <a:latin typeface="CG Omega"/>
              <a:ea typeface="CG Omega"/>
              <a:cs typeface="CG Omega"/>
            </a:rPr>
            <a:t>first fiscal year</a:t>
          </a:r>
          <a:r>
            <a:rPr lang="en-US" cap="none" sz="1400" b="0" i="0" u="none" baseline="0">
              <a:solidFill>
                <a:srgbClr val="000000"/>
              </a:solidFill>
              <a:latin typeface="CG Omega"/>
              <a:ea typeface="CG Omega"/>
              <a:cs typeface="CG Omega"/>
            </a:rPr>
            <a:t> indicated in G79 (i.e, for a project with a start date of  12/01/2011; the first 12-month budget period will have 9 months (Dec 2011 - Aug 2012) that fall within FY12. The future month distribution will automatically calculate based on 12-month budget periods.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7. Enter the </a:t>
          </a:r>
          <a:r>
            <a:rPr lang="en-US" cap="none" sz="1400" b="1" i="0" u="none" baseline="0">
              <a:solidFill>
                <a:srgbClr val="000000"/>
              </a:solidFill>
              <a:latin typeface="CG Omega"/>
              <a:ea typeface="CG Omega"/>
              <a:cs typeface="CG Omega"/>
            </a:rPr>
            <a:t>number of months</a:t>
          </a:r>
          <a:r>
            <a:rPr lang="en-US" cap="none" sz="1400" b="0" i="0" u="none" baseline="0">
              <a:solidFill>
                <a:srgbClr val="000000"/>
              </a:solidFill>
              <a:latin typeface="CG Omega"/>
              <a:ea typeface="CG Omega"/>
              <a:cs typeface="CG Omega"/>
            </a:rPr>
            <a:t> in the first budget period that fall in the </a:t>
          </a:r>
          <a:r>
            <a:rPr lang="en-US" cap="none" sz="1400" b="1" i="0" u="none" baseline="0">
              <a:solidFill>
                <a:srgbClr val="000000"/>
              </a:solidFill>
              <a:latin typeface="CG Omega"/>
              <a:ea typeface="CG Omega"/>
              <a:cs typeface="CG Omega"/>
            </a:rPr>
            <a:t>second fiscal year</a:t>
          </a:r>
          <a:r>
            <a:rPr lang="en-US" cap="none" sz="1400" b="0" i="0" u="none" baseline="0">
              <a:solidFill>
                <a:srgbClr val="000000"/>
              </a:solidFill>
              <a:latin typeface="CG Omega"/>
              <a:ea typeface="CG Omega"/>
              <a:cs typeface="CG Omega"/>
            </a:rPr>
            <a:t> indicated in M79 (i.e, for a project with a start date of  12/01/2011; the first 12-month budget period will have 3 months (Sep 2012 - Nov 2012) that fall within FY13. The future month distribution will automatically calculate based on 12-month budget periods.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8. In row 7, enter the </a:t>
          </a:r>
          <a:r>
            <a:rPr lang="en-US" cap="none" sz="1400" b="1" i="0" u="none" baseline="0">
              <a:solidFill>
                <a:srgbClr val="000000"/>
              </a:solidFill>
              <a:latin typeface="CG Omega"/>
              <a:ea typeface="CG Omega"/>
              <a:cs typeface="CG Omega"/>
            </a:rPr>
            <a:t>PI</a:t>
          </a:r>
          <a:r>
            <a:rPr lang="en-US" cap="none" sz="1400" b="0" i="0" u="none" baseline="0">
              <a:solidFill>
                <a:srgbClr val="000000"/>
              </a:solidFill>
              <a:latin typeface="CG Omega"/>
              <a:ea typeface="CG Omega"/>
              <a:cs typeface="CG Omega"/>
            </a:rPr>
            <a:t>'s name, projected base salary at the time of award and </a:t>
          </a:r>
          <a:r>
            <a:rPr lang="en-US" cap="none" sz="1400" b="1" i="0" u="none" baseline="0">
              <a:solidFill>
                <a:srgbClr val="000000"/>
              </a:solidFill>
              <a:latin typeface="CG Omega"/>
              <a:ea typeface="CG Omega"/>
              <a:cs typeface="CG Omega"/>
            </a:rPr>
            <a:t>% effort</a:t>
          </a:r>
          <a:r>
            <a:rPr lang="en-US" cap="none" sz="1400" b="0" i="0" u="none" baseline="0">
              <a:solidFill>
                <a:srgbClr val="000000"/>
              </a:solidFill>
              <a:latin typeface="CG Omega"/>
              <a:ea typeface="CG Omega"/>
              <a:cs typeface="CG Omega"/>
            </a:rPr>
            <a:t>. The worksheet will automatically calculate </a:t>
          </a:r>
          <a:r>
            <a:rPr lang="en-US" cap="none" sz="1400" b="1" i="0" u="none" baseline="0">
              <a:solidFill>
                <a:srgbClr val="000000"/>
              </a:solidFill>
              <a:latin typeface="CG Omega"/>
              <a:ea typeface="CG Omega"/>
              <a:cs typeface="CG Omega"/>
            </a:rPr>
            <a:t>calendar/person months effort</a:t>
          </a:r>
          <a:r>
            <a:rPr lang="en-US" cap="none" sz="1400" b="0" i="0" u="none" baseline="0">
              <a:solidFill>
                <a:srgbClr val="000000"/>
              </a:solidFill>
              <a:latin typeface="CG Omega"/>
              <a:ea typeface="CG Omega"/>
              <a:cs typeface="CG Omega"/>
            </a:rPr>
            <a:t>, based on the % effort you enter.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9. Enter </a:t>
          </a:r>
          <a:r>
            <a:rPr lang="en-US" cap="none" sz="1400" b="1" i="0" u="none" baseline="0">
              <a:solidFill>
                <a:srgbClr val="000000"/>
              </a:solidFill>
              <a:latin typeface="CG Omega"/>
              <a:ea typeface="CG Omega"/>
              <a:cs typeface="CG Omega"/>
            </a:rPr>
            <a:t>other project personnel</a:t>
          </a:r>
          <a:r>
            <a:rPr lang="en-US" cap="none" sz="1400" b="0" i="0" u="none" baseline="0">
              <a:solidFill>
                <a:srgbClr val="000000"/>
              </a:solidFill>
              <a:latin typeface="CG Omega"/>
              <a:ea typeface="CG Omega"/>
              <a:cs typeface="CG Omega"/>
            </a:rPr>
            <a:t>, filling in name, title and projected base salary.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10. The spreadsheet will automatically calculate a </a:t>
          </a:r>
          <a:r>
            <a:rPr lang="en-US" cap="none" sz="1400" b="1" i="0" u="none" baseline="0">
              <a:solidFill>
                <a:srgbClr val="000000"/>
              </a:solidFill>
              <a:latin typeface="CG Omega"/>
              <a:ea typeface="CG Omega"/>
              <a:cs typeface="CG Omega"/>
            </a:rPr>
            <a:t>stable % effort</a:t>
          </a:r>
          <a:r>
            <a:rPr lang="en-US" cap="none" sz="1400" b="0" i="0" u="none" baseline="0">
              <a:solidFill>
                <a:srgbClr val="000000"/>
              </a:solidFill>
              <a:latin typeface="CG Omega"/>
              <a:ea typeface="CG Omega"/>
              <a:cs typeface="CG Omega"/>
            </a:rPr>
            <a:t> for future years of the project, so you will need to enter % effort for each year if varying.
</a:t>
          </a:r>
          <a:r>
            <a:rPr lang="en-US" cap="none" sz="1400" b="0" i="0" u="none" baseline="0">
              <a:solidFill>
                <a:srgbClr val="000000"/>
              </a:solidFill>
              <a:latin typeface="CG Omega"/>
              <a:ea typeface="CG Omega"/>
              <a:cs typeface="CG Omega"/>
            </a:rPr>
            <a:t>
</a:t>
          </a:r>
          <a:r>
            <a:rPr lang="en-US" cap="none" sz="1400" b="0" i="0" u="none" baseline="0">
              <a:solidFill>
                <a:srgbClr val="000000"/>
              </a:solidFill>
              <a:latin typeface="CG Omega"/>
              <a:ea typeface="CG Omega"/>
              <a:cs typeface="CG Omega"/>
            </a:rPr>
            <a:t>11. NOTE: This budge template is to be used for faculty with 12-month appointments. One size never really fits all... if you have an unusual application that includes multiple subcontracts, GRA's, etc., formulas will need to be revised. Please feel free to contact Michelle Grana at 3-2899; mgrana@northwestern.edu if you have any questions about using this template.
</a:t>
          </a:r>
          <a:r>
            <a:rPr lang="en-US" cap="none" sz="1200" b="0" i="0" u="none" baseline="0">
              <a:solidFill>
                <a:srgbClr val="000000"/>
              </a:solidFill>
              <a:latin typeface="CG Omega"/>
              <a:ea typeface="CG Omega"/>
              <a:cs typeface="CG Omega"/>
            </a:rPr>
            <a:t>
</a:t>
          </a:r>
          <a:r>
            <a:rPr lang="en-US" cap="none" sz="1200" b="0" i="0" u="none" baseline="0">
              <a:solidFill>
                <a:srgbClr val="000000"/>
              </a:solidFill>
              <a:latin typeface="CG Omega"/>
              <a:ea typeface="CG Omega"/>
              <a:cs typeface="CG Omega"/>
            </a:rPr>
            <a:t>
</a:t>
          </a:r>
          <a:r>
            <a:rPr lang="en-US" cap="none" sz="1200" b="0" i="0" u="none" baseline="0">
              <a:solidFill>
                <a:srgbClr val="000000"/>
              </a:solidFill>
              <a:latin typeface="CG Omega"/>
              <a:ea typeface="CG Omega"/>
              <a:cs typeface="CG Omega"/>
            </a:rPr>
            <a:t>
</a:t>
          </a:r>
          <a:r>
            <a:rPr lang="en-US" cap="none" sz="1200" b="0" i="0" u="none" baseline="0">
              <a:solidFill>
                <a:srgbClr val="000000"/>
              </a:solidFill>
              <a:latin typeface="CG Omega"/>
              <a:ea typeface="CG Omega"/>
              <a:cs typeface="CG Omega"/>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finance.iusm.iu.edu/operations/Research%20Webpages/Forms%20Page/PHS398%20(0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FIRSTBUD"/>
      <sheetName val="ENTRBUD"/>
      <sheetName val="CHKLST"/>
      <sheetName val="F &amp; A Calculation"/>
      <sheetName val="NRSA Page 4"/>
      <sheetName val="NRSA Page 5"/>
    </sheetNames>
    <sheetDataSet>
      <sheetData sheetId="1">
        <row r="39">
          <cell r="I39">
            <v>0</v>
          </cell>
        </row>
        <row r="41">
          <cell r="I41">
            <v>0</v>
          </cell>
        </row>
      </sheetData>
      <sheetData sheetId="2">
        <row r="21">
          <cell r="G21">
            <v>0</v>
          </cell>
        </row>
      </sheetData>
      <sheetData sheetId="3">
        <row r="42">
          <cell r="O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60" zoomScalePageLayoutView="0" workbookViewId="0" topLeftCell="A1">
      <selection activeCell="O34" sqref="O34"/>
    </sheetView>
  </sheetViews>
  <sheetFormatPr defaultColWidth="9.140625" defaultRowHeight="12.75"/>
  <cols>
    <col min="1" max="1" width="8.7109375" style="0" customWidth="1"/>
    <col min="11" max="11" width="15.421875" style="0" customWidth="1"/>
  </cols>
  <sheetData/>
  <sheetProtection/>
  <printOptions horizontalCentered="1"/>
  <pageMargins left="0.2" right="0.2" top="0.75" bottom="0.25" header="0.25" footer="0.5"/>
  <pageSetup horizontalDpi="600" verticalDpi="600" orientation="portrait" paperSize="5" scale="95" r:id="rId2"/>
  <headerFooter alignWithMargins="0">
    <oddFooter>&amp;Ltemplate located at: http://www.research.northwestern.edu/nurap/programs.html</oddFooter>
  </headerFooter>
  <drawing r:id="rId1"/>
</worksheet>
</file>

<file path=xl/worksheets/sheet2.xml><?xml version="1.0" encoding="utf-8"?>
<worksheet xmlns="http://schemas.openxmlformats.org/spreadsheetml/2006/main" xmlns:r="http://schemas.openxmlformats.org/officeDocument/2006/relationships">
  <dimension ref="A1:AS81"/>
  <sheetViews>
    <sheetView zoomScalePageLayoutView="0" workbookViewId="0" topLeftCell="A1">
      <pane ySplit="5" topLeftCell="A9" activePane="bottomLeft" state="frozen"/>
      <selection pane="topLeft" activeCell="C1" sqref="C1"/>
      <selection pane="bottomLeft" activeCell="G80" sqref="G80"/>
    </sheetView>
  </sheetViews>
  <sheetFormatPr defaultColWidth="9.140625" defaultRowHeight="12.75"/>
  <cols>
    <col min="1" max="1" width="22.28125" style="1" customWidth="1"/>
    <col min="2" max="2" width="15.421875" style="1" customWidth="1"/>
    <col min="3" max="3" width="9.140625" style="1" customWidth="1"/>
    <col min="4" max="4" width="7.28125" style="1" customWidth="1"/>
    <col min="5" max="5" width="8.57421875" style="1" customWidth="1"/>
    <col min="6" max="9" width="10.7109375" style="1" customWidth="1"/>
    <col min="10" max="11" width="7.28125" style="1" customWidth="1"/>
    <col min="12" max="15" width="10.7109375" style="1" customWidth="1"/>
    <col min="16" max="17" width="7.28125" style="1" customWidth="1"/>
    <col min="18" max="21" width="10.7109375" style="1" customWidth="1"/>
    <col min="22" max="23" width="7.28125" style="1" customWidth="1"/>
    <col min="24" max="27" width="10.57421875" style="1" customWidth="1"/>
    <col min="28" max="29" width="7.28125" style="1" customWidth="1"/>
    <col min="30" max="30" width="10.7109375" style="1" customWidth="1"/>
    <col min="31" max="32" width="10.57421875" style="1" customWidth="1"/>
    <col min="33" max="33" width="10.57421875" style="15" customWidth="1"/>
    <col min="34" max="34" width="12.00390625" style="256" customWidth="1"/>
    <col min="35" max="16384" width="9.140625" style="1" customWidth="1"/>
  </cols>
  <sheetData>
    <row r="1" spans="1:34" ht="18">
      <c r="A1" s="16" t="s">
        <v>162</v>
      </c>
      <c r="B1" s="17"/>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9"/>
      <c r="AH1" s="250"/>
    </row>
    <row r="2" spans="1:34" ht="12.75">
      <c r="A2" s="28" t="s">
        <v>0</v>
      </c>
      <c r="B2" s="257">
        <v>41091</v>
      </c>
      <c r="F2" s="24" t="s">
        <v>30</v>
      </c>
      <c r="G2" s="259">
        <v>0.03</v>
      </c>
      <c r="H2" s="23"/>
      <c r="I2" s="23"/>
      <c r="L2" s="12" t="s">
        <v>24</v>
      </c>
      <c r="M2" s="12"/>
      <c r="N2" s="258">
        <v>199700</v>
      </c>
      <c r="O2" s="20"/>
      <c r="R2" s="9"/>
      <c r="S2" s="9"/>
      <c r="T2" s="9"/>
      <c r="U2" s="9"/>
      <c r="Y2" s="20"/>
      <c r="Z2" s="20"/>
      <c r="AA2" s="20"/>
      <c r="AE2" s="20"/>
      <c r="AF2" s="20"/>
      <c r="AG2" s="21"/>
      <c r="AH2" s="251"/>
    </row>
    <row r="3" spans="1:34" ht="13.5" customHeight="1">
      <c r="A3" s="28" t="s">
        <v>1</v>
      </c>
      <c r="B3" s="257">
        <v>42916</v>
      </c>
      <c r="F3" s="24" t="s">
        <v>10</v>
      </c>
      <c r="G3" s="260">
        <v>0</v>
      </c>
      <c r="M3" s="5"/>
      <c r="N3" s="5"/>
      <c r="O3" s="5"/>
      <c r="S3" s="5"/>
      <c r="T3" s="5"/>
      <c r="U3" s="5"/>
      <c r="Y3" s="5"/>
      <c r="Z3" s="5"/>
      <c r="AA3" s="5"/>
      <c r="AE3" s="5"/>
      <c r="AF3" s="5"/>
      <c r="AG3" s="13"/>
      <c r="AH3" s="13"/>
    </row>
    <row r="4" spans="1:34" s="2" customFormat="1" ht="13.5" thickBot="1">
      <c r="A4" s="29" t="s">
        <v>19</v>
      </c>
      <c r="B4" s="65">
        <f>ROUND((B3-B2)/365,0)</f>
        <v>5</v>
      </c>
      <c r="D4" s="39"/>
      <c r="E4" s="39"/>
      <c r="F4" s="39"/>
      <c r="G4" s="39"/>
      <c r="H4" s="40"/>
      <c r="I4" s="4"/>
      <c r="M4" s="4"/>
      <c r="N4" s="5" t="str">
        <f>IF($B$4&gt;1,"yes","no")</f>
        <v>yes</v>
      </c>
      <c r="O4" s="5"/>
      <c r="S4" s="4"/>
      <c r="T4" s="5" t="str">
        <f>IF($B$4&gt;2,"yes","no")</f>
        <v>yes</v>
      </c>
      <c r="U4" s="5"/>
      <c r="Y4" s="4"/>
      <c r="Z4" s="5" t="str">
        <f>IF($B$4&gt;3,"yes","no")</f>
        <v>yes</v>
      </c>
      <c r="AA4" s="5"/>
      <c r="AE4" s="4"/>
      <c r="AF4" s="5" t="str">
        <f>IF($B$4&gt;4,"yes","no")</f>
        <v>yes</v>
      </c>
      <c r="AG4" s="41"/>
      <c r="AH4" s="252"/>
    </row>
    <row r="5" spans="1:45" ht="13.5" thickBot="1">
      <c r="A5" s="78" t="s">
        <v>28</v>
      </c>
      <c r="B5" s="79"/>
      <c r="C5" s="265" t="s">
        <v>2</v>
      </c>
      <c r="D5" s="266"/>
      <c r="E5" s="266"/>
      <c r="F5" s="266"/>
      <c r="G5" s="266"/>
      <c r="H5" s="267"/>
      <c r="I5" s="265" t="s">
        <v>3</v>
      </c>
      <c r="J5" s="266"/>
      <c r="K5" s="266"/>
      <c r="L5" s="266"/>
      <c r="M5" s="266"/>
      <c r="N5" s="267" t="s">
        <v>3</v>
      </c>
      <c r="O5" s="265" t="s">
        <v>4</v>
      </c>
      <c r="P5" s="266"/>
      <c r="Q5" s="266"/>
      <c r="R5" s="266"/>
      <c r="S5" s="266"/>
      <c r="T5" s="267" t="s">
        <v>4</v>
      </c>
      <c r="U5" s="265" t="s">
        <v>5</v>
      </c>
      <c r="V5" s="266"/>
      <c r="W5" s="266"/>
      <c r="X5" s="266"/>
      <c r="Y5" s="266"/>
      <c r="Z5" s="267" t="s">
        <v>5</v>
      </c>
      <c r="AA5" s="265" t="s">
        <v>6</v>
      </c>
      <c r="AB5" s="266"/>
      <c r="AC5" s="266"/>
      <c r="AD5" s="266"/>
      <c r="AE5" s="266"/>
      <c r="AF5" s="267" t="s">
        <v>6</v>
      </c>
      <c r="AG5" s="80"/>
      <c r="AH5" s="253" t="s">
        <v>161</v>
      </c>
      <c r="AI5" s="2"/>
      <c r="AJ5" s="2"/>
      <c r="AK5" s="2"/>
      <c r="AL5" s="2"/>
      <c r="AM5" s="2"/>
      <c r="AN5" s="2"/>
      <c r="AO5" s="2"/>
      <c r="AP5" s="2"/>
      <c r="AQ5" s="2"/>
      <c r="AR5" s="2"/>
      <c r="AS5" s="2"/>
    </row>
    <row r="6" spans="1:45" ht="39.75" customHeight="1">
      <c r="A6" s="113" t="s">
        <v>7</v>
      </c>
      <c r="B6" s="25" t="s">
        <v>53</v>
      </c>
      <c r="C6" s="91" t="s">
        <v>56</v>
      </c>
      <c r="D6" s="92" t="s">
        <v>57</v>
      </c>
      <c r="E6" s="93" t="s">
        <v>152</v>
      </c>
      <c r="F6" s="93" t="s">
        <v>58</v>
      </c>
      <c r="G6" s="93" t="s">
        <v>59</v>
      </c>
      <c r="H6" s="94" t="s">
        <v>60</v>
      </c>
      <c r="I6" s="91" t="s">
        <v>61</v>
      </c>
      <c r="J6" s="92" t="s">
        <v>62</v>
      </c>
      <c r="K6" s="93" t="s">
        <v>153</v>
      </c>
      <c r="L6" s="93" t="s">
        <v>63</v>
      </c>
      <c r="M6" s="93" t="s">
        <v>64</v>
      </c>
      <c r="N6" s="94" t="s">
        <v>65</v>
      </c>
      <c r="O6" s="91" t="s">
        <v>66</v>
      </c>
      <c r="P6" s="92" t="s">
        <v>67</v>
      </c>
      <c r="Q6" s="93" t="s">
        <v>157</v>
      </c>
      <c r="R6" s="93" t="s">
        <v>68</v>
      </c>
      <c r="S6" s="93" t="s">
        <v>69</v>
      </c>
      <c r="T6" s="94" t="s">
        <v>70</v>
      </c>
      <c r="U6" s="91" t="s">
        <v>71</v>
      </c>
      <c r="V6" s="92" t="s">
        <v>72</v>
      </c>
      <c r="W6" s="93" t="s">
        <v>156</v>
      </c>
      <c r="X6" s="93" t="s">
        <v>73</v>
      </c>
      <c r="Y6" s="93" t="s">
        <v>74</v>
      </c>
      <c r="Z6" s="94" t="s">
        <v>75</v>
      </c>
      <c r="AA6" s="91" t="s">
        <v>76</v>
      </c>
      <c r="AB6" s="92" t="s">
        <v>77</v>
      </c>
      <c r="AC6" s="93" t="s">
        <v>155</v>
      </c>
      <c r="AD6" s="93" t="s">
        <v>78</v>
      </c>
      <c r="AE6" s="93" t="s">
        <v>79</v>
      </c>
      <c r="AF6" s="94" t="s">
        <v>80</v>
      </c>
      <c r="AG6" s="42" t="s">
        <v>8</v>
      </c>
      <c r="AH6" s="42"/>
      <c r="AS6" s="1" t="s">
        <v>20</v>
      </c>
    </row>
    <row r="7" spans="1:34" s="2" customFormat="1" ht="12.75">
      <c r="A7" s="114"/>
      <c r="B7" s="87"/>
      <c r="C7" s="90"/>
      <c r="D7" s="88">
        <f>E7*12</f>
        <v>1.2000000000000002</v>
      </c>
      <c r="E7" s="241">
        <v>0.1</v>
      </c>
      <c r="F7" s="10">
        <f>ROUND(IF(C7&gt;=$N$2,$N$2*E7,E7*C7),0)</f>
        <v>0</v>
      </c>
      <c r="G7" s="10">
        <f>ROUND(F7*G$81,0)</f>
        <v>0</v>
      </c>
      <c r="H7" s="56">
        <f>G7+F7</f>
        <v>0</v>
      </c>
      <c r="I7" s="10">
        <f>ROUND(IF(N$4="yes",(C7*(1+$G$2)),0),0)</f>
        <v>0</v>
      </c>
      <c r="J7" s="88">
        <f>K7*12</f>
        <v>1.2000000000000002</v>
      </c>
      <c r="K7" s="243">
        <f>IF($N$4="yes",E7,0)</f>
        <v>0.1</v>
      </c>
      <c r="L7" s="10">
        <f>ROUND(IF(I7&gt;=($N$2*(1+$G$2)),($N$2*(1+$G$2))*K7,K7*I7),0)</f>
        <v>0</v>
      </c>
      <c r="M7" s="10">
        <f>ROUND(L7*M$81,0)</f>
        <v>0</v>
      </c>
      <c r="N7" s="56">
        <f>M7+L7</f>
        <v>0</v>
      </c>
      <c r="O7" s="10">
        <f aca="true" t="shared" si="0" ref="O7:O17">IF(T$4="yes",(I7*(1+$G$2)),0)</f>
        <v>0</v>
      </c>
      <c r="P7" s="88">
        <f aca="true" t="shared" si="1" ref="P7:P17">Q7*12</f>
        <v>1.2000000000000002</v>
      </c>
      <c r="Q7" s="243">
        <f>IF($T$4="yes",K7,0)</f>
        <v>0.1</v>
      </c>
      <c r="R7" s="10">
        <f>ROUND(IF(O7&gt;=($N$2*(1+$G$2)^2),($N$2*(1+$G$2)^2)*Q7,Q7*O7),0)</f>
        <v>0</v>
      </c>
      <c r="S7" s="10">
        <f>ROUND(R7*S$81,0)</f>
        <v>0</v>
      </c>
      <c r="T7" s="56">
        <f>S7+R7</f>
        <v>0</v>
      </c>
      <c r="U7" s="10">
        <f aca="true" t="shared" si="2" ref="U7:U17">IF(Z$4="yes",(O7*(1+$G$2)),0)</f>
        <v>0</v>
      </c>
      <c r="V7" s="88">
        <f aca="true" t="shared" si="3" ref="V7:V17">W7*12</f>
        <v>1.2000000000000002</v>
      </c>
      <c r="W7" s="243">
        <f>IF($Z$4="yes",Q7,0)</f>
        <v>0.1</v>
      </c>
      <c r="X7" s="10">
        <f>ROUND(IF(U7&gt;=($N$2*(1+$G$2)^3),($N$2*(1+$G$2)^3)*W7,W7*U7),0)</f>
        <v>0</v>
      </c>
      <c r="Y7" s="10">
        <f>ROUND(X7*Y$81,0)</f>
        <v>0</v>
      </c>
      <c r="Z7" s="56">
        <f>Y7+X7</f>
        <v>0</v>
      </c>
      <c r="AA7" s="10">
        <f aca="true" t="shared" si="4" ref="AA7:AA17">IF(AF$4="yes",(U7*(1+$G$2)),0)</f>
        <v>0</v>
      </c>
      <c r="AB7" s="88">
        <f aca="true" t="shared" si="5" ref="AB7:AB17">AC7*12</f>
        <v>1.2000000000000002</v>
      </c>
      <c r="AC7" s="243">
        <f>IF($AF$4="yes",W7,0)</f>
        <v>0.1</v>
      </c>
      <c r="AD7" s="10">
        <f>ROUND(IF(AA7&gt;=($N$2*(1+$G$2)^4),($N$2*(1+$G$2)^4)*AC7,AC7*AA7),0)</f>
        <v>0</v>
      </c>
      <c r="AE7" s="10">
        <f>ROUND(AD7*AE$81,0)</f>
        <v>0</v>
      </c>
      <c r="AF7" s="56">
        <f>AE7+AD7</f>
        <v>0</v>
      </c>
      <c r="AG7" s="43">
        <f>AF7+Z7+T7+N7+H7</f>
        <v>0</v>
      </c>
      <c r="AH7" s="43"/>
    </row>
    <row r="8" spans="1:35" s="2" customFormat="1" ht="12.75">
      <c r="A8" s="114"/>
      <c r="B8" s="87"/>
      <c r="C8" s="90"/>
      <c r="D8" s="88">
        <f aca="true" t="shared" si="6" ref="D8:D17">E8*12</f>
        <v>0</v>
      </c>
      <c r="E8" s="241">
        <v>0</v>
      </c>
      <c r="F8" s="10">
        <f aca="true" t="shared" si="7" ref="F8:F17">ROUND(IF(C8&gt;=$N$2,$N$2*E8,E8*C8),0)</f>
        <v>0</v>
      </c>
      <c r="G8" s="10">
        <f>ROUND(F8*G$81,0)</f>
        <v>0</v>
      </c>
      <c r="H8" s="56">
        <f aca="true" t="shared" si="8" ref="H8:H17">G8+F8</f>
        <v>0</v>
      </c>
      <c r="I8" s="10">
        <f aca="true" t="shared" si="9" ref="I8:I17">ROUND(IF(N$4="yes",(C8*(1+$G$2)),0),0)</f>
        <v>0</v>
      </c>
      <c r="J8" s="88">
        <f aca="true" t="shared" si="10" ref="J8:J17">K8*12</f>
        <v>0</v>
      </c>
      <c r="K8" s="243">
        <f aca="true" t="shared" si="11" ref="K8:K17">IF($N$4="yes",E8,0)</f>
        <v>0</v>
      </c>
      <c r="L8" s="10">
        <f aca="true" t="shared" si="12" ref="L8:L17">ROUND(IF(I8&gt;=($N$2*(1+$G$2)),($N$2*(1+$G$2))*K8,K8*I8),0)</f>
        <v>0</v>
      </c>
      <c r="M8" s="10">
        <f>ROUND(L8*M$81,0)</f>
        <v>0</v>
      </c>
      <c r="N8" s="56">
        <f aca="true" t="shared" si="13" ref="N8:N17">M8+L8</f>
        <v>0</v>
      </c>
      <c r="O8" s="10">
        <f t="shared" si="0"/>
        <v>0</v>
      </c>
      <c r="P8" s="88">
        <f t="shared" si="1"/>
        <v>0</v>
      </c>
      <c r="Q8" s="243">
        <f aca="true" t="shared" si="14" ref="Q8:Q17">IF($T$4="yes",K8,0)</f>
        <v>0</v>
      </c>
      <c r="R8" s="10">
        <f aca="true" t="shared" si="15" ref="R8:R17">ROUND(IF(O8&gt;=($N$2*(1+$G$2)^2),($N$2*(1+$G$2)^2)*Q8,Q8*O8),0)</f>
        <v>0</v>
      </c>
      <c r="S8" s="10">
        <f>ROUND(R8*S$81,0)</f>
        <v>0</v>
      </c>
      <c r="T8" s="56">
        <f aca="true" t="shared" si="16" ref="T8:T17">S8+R8</f>
        <v>0</v>
      </c>
      <c r="U8" s="10">
        <f t="shared" si="2"/>
        <v>0</v>
      </c>
      <c r="V8" s="88">
        <f t="shared" si="3"/>
        <v>0</v>
      </c>
      <c r="W8" s="243">
        <f aca="true" t="shared" si="17" ref="W8:W17">IF($Z$4="yes",Q8,0)</f>
        <v>0</v>
      </c>
      <c r="X8" s="10">
        <f aca="true" t="shared" si="18" ref="X8:X17">ROUND(IF(U8&gt;=($N$2*(1+$G$2)^3),($N$2*(1+$G$2)^3)*W8,W8*U8),0)</f>
        <v>0</v>
      </c>
      <c r="Y8" s="10">
        <f>ROUND(X8*Y$81,0)</f>
        <v>0</v>
      </c>
      <c r="Z8" s="56">
        <f aca="true" t="shared" si="19" ref="Z8:Z17">Y8+X8</f>
        <v>0</v>
      </c>
      <c r="AA8" s="10">
        <f t="shared" si="4"/>
        <v>0</v>
      </c>
      <c r="AB8" s="88">
        <f t="shared" si="5"/>
        <v>0</v>
      </c>
      <c r="AC8" s="243">
        <f aca="true" t="shared" si="20" ref="AC8:AC17">IF($AF$4="yes",W8,0)</f>
        <v>0</v>
      </c>
      <c r="AD8" s="10">
        <f aca="true" t="shared" si="21" ref="AD8:AD17">ROUND(IF(AA8&gt;=($N$2*(1+$G$2)^4),($N$2*(1+$G$2)^4)*AC8,AC8*AA8),0)</f>
        <v>0</v>
      </c>
      <c r="AE8" s="10">
        <f>ROUND(AD8*AE$81,0)</f>
        <v>0</v>
      </c>
      <c r="AF8" s="56">
        <f aca="true" t="shared" si="22" ref="AF8:AF17">AE8+AD8</f>
        <v>0</v>
      </c>
      <c r="AG8" s="43">
        <f>AF8+Z8+T8+N8+H8</f>
        <v>0</v>
      </c>
      <c r="AH8" s="43"/>
      <c r="AI8" s="8"/>
    </row>
    <row r="9" spans="1:35" s="2" customFormat="1" ht="12.75">
      <c r="A9" s="114"/>
      <c r="B9" s="87"/>
      <c r="C9" s="90"/>
      <c r="D9" s="88">
        <f t="shared" si="6"/>
        <v>0</v>
      </c>
      <c r="E9" s="241">
        <v>0</v>
      </c>
      <c r="F9" s="10">
        <f t="shared" si="7"/>
        <v>0</v>
      </c>
      <c r="G9" s="10">
        <f>ROUND(F9*G$81,0)</f>
        <v>0</v>
      </c>
      <c r="H9" s="56">
        <f t="shared" si="8"/>
        <v>0</v>
      </c>
      <c r="I9" s="10">
        <f t="shared" si="9"/>
        <v>0</v>
      </c>
      <c r="J9" s="88">
        <f t="shared" si="10"/>
        <v>0</v>
      </c>
      <c r="K9" s="243">
        <f t="shared" si="11"/>
        <v>0</v>
      </c>
      <c r="L9" s="10">
        <f t="shared" si="12"/>
        <v>0</v>
      </c>
      <c r="M9" s="10">
        <f>ROUND(L9*M$81,0)</f>
        <v>0</v>
      </c>
      <c r="N9" s="56">
        <f t="shared" si="13"/>
        <v>0</v>
      </c>
      <c r="O9" s="10">
        <f t="shared" si="0"/>
        <v>0</v>
      </c>
      <c r="P9" s="88">
        <f t="shared" si="1"/>
        <v>0</v>
      </c>
      <c r="Q9" s="243">
        <f t="shared" si="14"/>
        <v>0</v>
      </c>
      <c r="R9" s="10">
        <f t="shared" si="15"/>
        <v>0</v>
      </c>
      <c r="S9" s="10">
        <f>ROUND(R9*S$81,0)</f>
        <v>0</v>
      </c>
      <c r="T9" s="56">
        <f t="shared" si="16"/>
        <v>0</v>
      </c>
      <c r="U9" s="10">
        <f t="shared" si="2"/>
        <v>0</v>
      </c>
      <c r="V9" s="88">
        <f t="shared" si="3"/>
        <v>0</v>
      </c>
      <c r="W9" s="243">
        <f t="shared" si="17"/>
        <v>0</v>
      </c>
      <c r="X9" s="10">
        <f t="shared" si="18"/>
        <v>0</v>
      </c>
      <c r="Y9" s="10">
        <f>ROUND(X9*Y$81,0)</f>
        <v>0</v>
      </c>
      <c r="Z9" s="56">
        <f t="shared" si="19"/>
        <v>0</v>
      </c>
      <c r="AA9" s="10">
        <f t="shared" si="4"/>
        <v>0</v>
      </c>
      <c r="AB9" s="88">
        <f t="shared" si="5"/>
        <v>0</v>
      </c>
      <c r="AC9" s="243">
        <f t="shared" si="20"/>
        <v>0</v>
      </c>
      <c r="AD9" s="10">
        <f t="shared" si="21"/>
        <v>0</v>
      </c>
      <c r="AE9" s="10">
        <f>ROUND(AD9*AE$81,0)</f>
        <v>0</v>
      </c>
      <c r="AF9" s="56">
        <f t="shared" si="22"/>
        <v>0</v>
      </c>
      <c r="AG9" s="43">
        <f>AF9+Z9+T9+N9+H9</f>
        <v>0</v>
      </c>
      <c r="AH9" s="43"/>
      <c r="AI9" s="8"/>
    </row>
    <row r="10" spans="1:35" s="2" customFormat="1" ht="12.75">
      <c r="A10" s="114"/>
      <c r="B10" s="87"/>
      <c r="C10" s="90"/>
      <c r="D10" s="88">
        <f t="shared" si="6"/>
        <v>0</v>
      </c>
      <c r="E10" s="241">
        <v>0</v>
      </c>
      <c r="F10" s="10">
        <f t="shared" si="7"/>
        <v>0</v>
      </c>
      <c r="G10" s="10">
        <f>ROUND(F10*G$81,0)</f>
        <v>0</v>
      </c>
      <c r="H10" s="56">
        <f t="shared" si="8"/>
        <v>0</v>
      </c>
      <c r="I10" s="10">
        <f t="shared" si="9"/>
        <v>0</v>
      </c>
      <c r="J10" s="88">
        <f t="shared" si="10"/>
        <v>0</v>
      </c>
      <c r="K10" s="243">
        <f t="shared" si="11"/>
        <v>0</v>
      </c>
      <c r="L10" s="10">
        <f t="shared" si="12"/>
        <v>0</v>
      </c>
      <c r="M10" s="10">
        <f>ROUND(L10*M$81,0)</f>
        <v>0</v>
      </c>
      <c r="N10" s="56">
        <f t="shared" si="13"/>
        <v>0</v>
      </c>
      <c r="O10" s="10">
        <f t="shared" si="0"/>
        <v>0</v>
      </c>
      <c r="P10" s="88">
        <f t="shared" si="1"/>
        <v>0</v>
      </c>
      <c r="Q10" s="243">
        <f t="shared" si="14"/>
        <v>0</v>
      </c>
      <c r="R10" s="10">
        <f t="shared" si="15"/>
        <v>0</v>
      </c>
      <c r="S10" s="10">
        <f>ROUND(R10*S$81,0)</f>
        <v>0</v>
      </c>
      <c r="T10" s="56">
        <f t="shared" si="16"/>
        <v>0</v>
      </c>
      <c r="U10" s="10">
        <f t="shared" si="2"/>
        <v>0</v>
      </c>
      <c r="V10" s="88">
        <f t="shared" si="3"/>
        <v>0</v>
      </c>
      <c r="W10" s="243">
        <f t="shared" si="17"/>
        <v>0</v>
      </c>
      <c r="X10" s="10">
        <f t="shared" si="18"/>
        <v>0</v>
      </c>
      <c r="Y10" s="10">
        <f>ROUND(X10*Y$81,0)</f>
        <v>0</v>
      </c>
      <c r="Z10" s="56">
        <f t="shared" si="19"/>
        <v>0</v>
      </c>
      <c r="AA10" s="10">
        <f t="shared" si="4"/>
        <v>0</v>
      </c>
      <c r="AB10" s="88">
        <f t="shared" si="5"/>
        <v>0</v>
      </c>
      <c r="AC10" s="243">
        <f t="shared" si="20"/>
        <v>0</v>
      </c>
      <c r="AD10" s="10">
        <f t="shared" si="21"/>
        <v>0</v>
      </c>
      <c r="AE10" s="10">
        <f>ROUND(AD10*AE$81,0)</f>
        <v>0</v>
      </c>
      <c r="AF10" s="56">
        <f t="shared" si="22"/>
        <v>0</v>
      </c>
      <c r="AG10" s="43">
        <f>AF10+Z10+T10+N10+H10</f>
        <v>0</v>
      </c>
      <c r="AH10" s="43"/>
      <c r="AI10" s="8"/>
    </row>
    <row r="11" spans="1:35" s="2" customFormat="1" ht="12.75">
      <c r="A11" s="114"/>
      <c r="B11" s="87"/>
      <c r="C11" s="90"/>
      <c r="D11" s="88">
        <f t="shared" si="6"/>
        <v>0</v>
      </c>
      <c r="E11" s="241">
        <v>0</v>
      </c>
      <c r="F11" s="10">
        <f t="shared" si="7"/>
        <v>0</v>
      </c>
      <c r="G11" s="10">
        <f>ROUND(F11*G$81,0)</f>
        <v>0</v>
      </c>
      <c r="H11" s="56">
        <f t="shared" si="8"/>
        <v>0</v>
      </c>
      <c r="I11" s="10">
        <f t="shared" si="9"/>
        <v>0</v>
      </c>
      <c r="J11" s="88">
        <f t="shared" si="10"/>
        <v>0</v>
      </c>
      <c r="K11" s="243">
        <f t="shared" si="11"/>
        <v>0</v>
      </c>
      <c r="L11" s="10">
        <f t="shared" si="12"/>
        <v>0</v>
      </c>
      <c r="M11" s="10">
        <f>ROUND(L11*M$81,0)</f>
        <v>0</v>
      </c>
      <c r="N11" s="56">
        <f t="shared" si="13"/>
        <v>0</v>
      </c>
      <c r="O11" s="10">
        <f t="shared" si="0"/>
        <v>0</v>
      </c>
      <c r="P11" s="88">
        <f t="shared" si="1"/>
        <v>0</v>
      </c>
      <c r="Q11" s="243">
        <f t="shared" si="14"/>
        <v>0</v>
      </c>
      <c r="R11" s="10">
        <f t="shared" si="15"/>
        <v>0</v>
      </c>
      <c r="S11" s="10">
        <f>ROUND(R11*S$81,0)</f>
        <v>0</v>
      </c>
      <c r="T11" s="56">
        <f t="shared" si="16"/>
        <v>0</v>
      </c>
      <c r="U11" s="10">
        <f t="shared" si="2"/>
        <v>0</v>
      </c>
      <c r="V11" s="88">
        <f t="shared" si="3"/>
        <v>0</v>
      </c>
      <c r="W11" s="243">
        <f t="shared" si="17"/>
        <v>0</v>
      </c>
      <c r="X11" s="10">
        <f t="shared" si="18"/>
        <v>0</v>
      </c>
      <c r="Y11" s="10">
        <f>ROUND(X11*Y$81,0)</f>
        <v>0</v>
      </c>
      <c r="Z11" s="56">
        <f t="shared" si="19"/>
        <v>0</v>
      </c>
      <c r="AA11" s="10">
        <f t="shared" si="4"/>
        <v>0</v>
      </c>
      <c r="AB11" s="88">
        <f t="shared" si="5"/>
        <v>0</v>
      </c>
      <c r="AC11" s="243">
        <f t="shared" si="20"/>
        <v>0</v>
      </c>
      <c r="AD11" s="10">
        <f t="shared" si="21"/>
        <v>0</v>
      </c>
      <c r="AE11" s="10">
        <f>ROUND(AD11*AE$81,0)</f>
        <v>0</v>
      </c>
      <c r="AF11" s="56">
        <f t="shared" si="22"/>
        <v>0</v>
      </c>
      <c r="AG11" s="43">
        <f>AF11+Z11+T11+N11+H11</f>
        <v>0</v>
      </c>
      <c r="AH11" s="43"/>
      <c r="AI11" s="8"/>
    </row>
    <row r="12" spans="1:35" s="2" customFormat="1" ht="12.75">
      <c r="A12" s="114"/>
      <c r="B12" s="87"/>
      <c r="C12" s="90"/>
      <c r="D12" s="88">
        <f t="shared" si="6"/>
        <v>0</v>
      </c>
      <c r="E12" s="241">
        <v>0</v>
      </c>
      <c r="F12" s="10">
        <f t="shared" si="7"/>
        <v>0</v>
      </c>
      <c r="G12" s="10">
        <f>ROUND(F12*G$81,0)</f>
        <v>0</v>
      </c>
      <c r="H12" s="56">
        <f t="shared" si="8"/>
        <v>0</v>
      </c>
      <c r="I12" s="10">
        <f t="shared" si="9"/>
        <v>0</v>
      </c>
      <c r="J12" s="88">
        <f t="shared" si="10"/>
        <v>0</v>
      </c>
      <c r="K12" s="243">
        <f t="shared" si="11"/>
        <v>0</v>
      </c>
      <c r="L12" s="10">
        <f t="shared" si="12"/>
        <v>0</v>
      </c>
      <c r="M12" s="10">
        <f>ROUND(L12*M$81,0)</f>
        <v>0</v>
      </c>
      <c r="N12" s="56">
        <f t="shared" si="13"/>
        <v>0</v>
      </c>
      <c r="O12" s="10">
        <f t="shared" si="0"/>
        <v>0</v>
      </c>
      <c r="P12" s="88">
        <f t="shared" si="1"/>
        <v>0</v>
      </c>
      <c r="Q12" s="243">
        <f t="shared" si="14"/>
        <v>0</v>
      </c>
      <c r="R12" s="10">
        <f t="shared" si="15"/>
        <v>0</v>
      </c>
      <c r="S12" s="10">
        <f>ROUND(R12*S$81,0)</f>
        <v>0</v>
      </c>
      <c r="T12" s="56">
        <f t="shared" si="16"/>
        <v>0</v>
      </c>
      <c r="U12" s="10">
        <f t="shared" si="2"/>
        <v>0</v>
      </c>
      <c r="V12" s="88">
        <f t="shared" si="3"/>
        <v>0</v>
      </c>
      <c r="W12" s="243">
        <f t="shared" si="17"/>
        <v>0</v>
      </c>
      <c r="X12" s="10">
        <f t="shared" si="18"/>
        <v>0</v>
      </c>
      <c r="Y12" s="10">
        <f>ROUND(X12*Y$81,0)</f>
        <v>0</v>
      </c>
      <c r="Z12" s="56">
        <f t="shared" si="19"/>
        <v>0</v>
      </c>
      <c r="AA12" s="10">
        <f t="shared" si="4"/>
        <v>0</v>
      </c>
      <c r="AB12" s="88">
        <f t="shared" si="5"/>
        <v>0</v>
      </c>
      <c r="AC12" s="243">
        <f t="shared" si="20"/>
        <v>0</v>
      </c>
      <c r="AD12" s="10">
        <f t="shared" si="21"/>
        <v>0</v>
      </c>
      <c r="AE12" s="10">
        <f>ROUND(AD12*AE$81,0)</f>
        <v>0</v>
      </c>
      <c r="AF12" s="56">
        <f t="shared" si="22"/>
        <v>0</v>
      </c>
      <c r="AG12" s="43">
        <f aca="true" t="shared" si="23" ref="AG12:AG18">AF12+Z12+T12+N12+H12</f>
        <v>0</v>
      </c>
      <c r="AH12" s="43"/>
      <c r="AI12" s="8"/>
    </row>
    <row r="13" spans="1:35" s="2" customFormat="1" ht="12.75">
      <c r="A13" s="114"/>
      <c r="B13" s="87"/>
      <c r="C13" s="90"/>
      <c r="D13" s="88">
        <f t="shared" si="6"/>
        <v>0</v>
      </c>
      <c r="E13" s="241">
        <v>0</v>
      </c>
      <c r="F13" s="10">
        <f t="shared" si="7"/>
        <v>0</v>
      </c>
      <c r="G13" s="10">
        <f>ROUND(F13*G$81,0)</f>
        <v>0</v>
      </c>
      <c r="H13" s="56">
        <f t="shared" si="8"/>
        <v>0</v>
      </c>
      <c r="I13" s="10">
        <f t="shared" si="9"/>
        <v>0</v>
      </c>
      <c r="J13" s="88">
        <f t="shared" si="10"/>
        <v>0</v>
      </c>
      <c r="K13" s="243">
        <f t="shared" si="11"/>
        <v>0</v>
      </c>
      <c r="L13" s="10">
        <f t="shared" si="12"/>
        <v>0</v>
      </c>
      <c r="M13" s="10">
        <f>ROUND(L13*M$81,0)</f>
        <v>0</v>
      </c>
      <c r="N13" s="56">
        <f t="shared" si="13"/>
        <v>0</v>
      </c>
      <c r="O13" s="10">
        <f t="shared" si="0"/>
        <v>0</v>
      </c>
      <c r="P13" s="88">
        <f t="shared" si="1"/>
        <v>0</v>
      </c>
      <c r="Q13" s="243">
        <f t="shared" si="14"/>
        <v>0</v>
      </c>
      <c r="R13" s="10">
        <f t="shared" si="15"/>
        <v>0</v>
      </c>
      <c r="S13" s="10">
        <f>ROUND(R13*S$81,0)</f>
        <v>0</v>
      </c>
      <c r="T13" s="56">
        <f t="shared" si="16"/>
        <v>0</v>
      </c>
      <c r="U13" s="10">
        <f t="shared" si="2"/>
        <v>0</v>
      </c>
      <c r="V13" s="88">
        <f t="shared" si="3"/>
        <v>0</v>
      </c>
      <c r="W13" s="243">
        <f t="shared" si="17"/>
        <v>0</v>
      </c>
      <c r="X13" s="10">
        <f t="shared" si="18"/>
        <v>0</v>
      </c>
      <c r="Y13" s="10">
        <f>ROUND(X13*Y$81,0)</f>
        <v>0</v>
      </c>
      <c r="Z13" s="56">
        <f t="shared" si="19"/>
        <v>0</v>
      </c>
      <c r="AA13" s="10">
        <f t="shared" si="4"/>
        <v>0</v>
      </c>
      <c r="AB13" s="88">
        <f t="shared" si="5"/>
        <v>0</v>
      </c>
      <c r="AC13" s="243">
        <f t="shared" si="20"/>
        <v>0</v>
      </c>
      <c r="AD13" s="10">
        <f t="shared" si="21"/>
        <v>0</v>
      </c>
      <c r="AE13" s="10">
        <f>ROUND(AD13*AE$81,0)</f>
        <v>0</v>
      </c>
      <c r="AF13" s="56">
        <f t="shared" si="22"/>
        <v>0</v>
      </c>
      <c r="AG13" s="43">
        <f t="shared" si="23"/>
        <v>0</v>
      </c>
      <c r="AH13" s="43"/>
      <c r="AI13" s="8"/>
    </row>
    <row r="14" spans="1:35" s="2" customFormat="1" ht="12.75">
      <c r="A14" s="114"/>
      <c r="B14" s="87"/>
      <c r="C14" s="90"/>
      <c r="D14" s="88">
        <f t="shared" si="6"/>
        <v>0</v>
      </c>
      <c r="E14" s="241">
        <v>0</v>
      </c>
      <c r="F14" s="10">
        <f t="shared" si="7"/>
        <v>0</v>
      </c>
      <c r="G14" s="10">
        <f>ROUND(F14*G$81,0)</f>
        <v>0</v>
      </c>
      <c r="H14" s="56">
        <f t="shared" si="8"/>
        <v>0</v>
      </c>
      <c r="I14" s="10">
        <f t="shared" si="9"/>
        <v>0</v>
      </c>
      <c r="J14" s="88">
        <f t="shared" si="10"/>
        <v>0</v>
      </c>
      <c r="K14" s="243">
        <f t="shared" si="11"/>
        <v>0</v>
      </c>
      <c r="L14" s="10">
        <f t="shared" si="12"/>
        <v>0</v>
      </c>
      <c r="M14" s="10">
        <f>ROUND(L14*M$81,0)</f>
        <v>0</v>
      </c>
      <c r="N14" s="56">
        <f t="shared" si="13"/>
        <v>0</v>
      </c>
      <c r="O14" s="10">
        <f t="shared" si="0"/>
        <v>0</v>
      </c>
      <c r="P14" s="88">
        <f t="shared" si="1"/>
        <v>0</v>
      </c>
      <c r="Q14" s="243">
        <f t="shared" si="14"/>
        <v>0</v>
      </c>
      <c r="R14" s="10">
        <f t="shared" si="15"/>
        <v>0</v>
      </c>
      <c r="S14" s="10">
        <f>ROUND(R14*S$81,0)</f>
        <v>0</v>
      </c>
      <c r="T14" s="56">
        <f t="shared" si="16"/>
        <v>0</v>
      </c>
      <c r="U14" s="10">
        <f t="shared" si="2"/>
        <v>0</v>
      </c>
      <c r="V14" s="88">
        <f t="shared" si="3"/>
        <v>0</v>
      </c>
      <c r="W14" s="243">
        <f t="shared" si="17"/>
        <v>0</v>
      </c>
      <c r="X14" s="10">
        <f t="shared" si="18"/>
        <v>0</v>
      </c>
      <c r="Y14" s="10">
        <f>ROUND(X14*Y$81,0)</f>
        <v>0</v>
      </c>
      <c r="Z14" s="56">
        <f t="shared" si="19"/>
        <v>0</v>
      </c>
      <c r="AA14" s="10">
        <f t="shared" si="4"/>
        <v>0</v>
      </c>
      <c r="AB14" s="88">
        <f t="shared" si="5"/>
        <v>0</v>
      </c>
      <c r="AC14" s="243">
        <f t="shared" si="20"/>
        <v>0</v>
      </c>
      <c r="AD14" s="10">
        <f t="shared" si="21"/>
        <v>0</v>
      </c>
      <c r="AE14" s="10">
        <f>ROUND(AD14*AE$81,0)</f>
        <v>0</v>
      </c>
      <c r="AF14" s="56">
        <f t="shared" si="22"/>
        <v>0</v>
      </c>
      <c r="AG14" s="43">
        <f t="shared" si="23"/>
        <v>0</v>
      </c>
      <c r="AH14" s="43"/>
      <c r="AI14" s="8"/>
    </row>
    <row r="15" spans="1:35" s="2" customFormat="1" ht="12.75">
      <c r="A15" s="114"/>
      <c r="B15" s="87"/>
      <c r="C15" s="90"/>
      <c r="D15" s="88">
        <f t="shared" si="6"/>
        <v>0</v>
      </c>
      <c r="E15" s="241">
        <v>0</v>
      </c>
      <c r="F15" s="10">
        <f t="shared" si="7"/>
        <v>0</v>
      </c>
      <c r="G15" s="10">
        <f>ROUND(F15*G$81,0)</f>
        <v>0</v>
      </c>
      <c r="H15" s="56">
        <f t="shared" si="8"/>
        <v>0</v>
      </c>
      <c r="I15" s="10">
        <f t="shared" si="9"/>
        <v>0</v>
      </c>
      <c r="J15" s="88">
        <f t="shared" si="10"/>
        <v>0</v>
      </c>
      <c r="K15" s="243">
        <f t="shared" si="11"/>
        <v>0</v>
      </c>
      <c r="L15" s="10">
        <f t="shared" si="12"/>
        <v>0</v>
      </c>
      <c r="M15" s="10">
        <f>ROUND(L15*M$81,0)</f>
        <v>0</v>
      </c>
      <c r="N15" s="56">
        <f t="shared" si="13"/>
        <v>0</v>
      </c>
      <c r="O15" s="10">
        <f t="shared" si="0"/>
        <v>0</v>
      </c>
      <c r="P15" s="88">
        <f t="shared" si="1"/>
        <v>0</v>
      </c>
      <c r="Q15" s="243">
        <f t="shared" si="14"/>
        <v>0</v>
      </c>
      <c r="R15" s="10">
        <f t="shared" si="15"/>
        <v>0</v>
      </c>
      <c r="S15" s="10">
        <f>ROUND(R15*S$81,0)</f>
        <v>0</v>
      </c>
      <c r="T15" s="56">
        <f t="shared" si="16"/>
        <v>0</v>
      </c>
      <c r="U15" s="10">
        <f t="shared" si="2"/>
        <v>0</v>
      </c>
      <c r="V15" s="88">
        <f t="shared" si="3"/>
        <v>0</v>
      </c>
      <c r="W15" s="243">
        <f t="shared" si="17"/>
        <v>0</v>
      </c>
      <c r="X15" s="10">
        <f t="shared" si="18"/>
        <v>0</v>
      </c>
      <c r="Y15" s="10">
        <f>ROUND(X15*Y$81,0)</f>
        <v>0</v>
      </c>
      <c r="Z15" s="56">
        <f t="shared" si="19"/>
        <v>0</v>
      </c>
      <c r="AA15" s="10">
        <f t="shared" si="4"/>
        <v>0</v>
      </c>
      <c r="AB15" s="88">
        <f t="shared" si="5"/>
        <v>0</v>
      </c>
      <c r="AC15" s="243">
        <f t="shared" si="20"/>
        <v>0</v>
      </c>
      <c r="AD15" s="10">
        <f t="shared" si="21"/>
        <v>0</v>
      </c>
      <c r="AE15" s="10">
        <f>ROUND(AD15*AE$81,0)</f>
        <v>0</v>
      </c>
      <c r="AF15" s="56">
        <f t="shared" si="22"/>
        <v>0</v>
      </c>
      <c r="AG15" s="43">
        <f t="shared" si="23"/>
        <v>0</v>
      </c>
      <c r="AH15" s="43"/>
      <c r="AI15" s="8"/>
    </row>
    <row r="16" spans="1:35" s="2" customFormat="1" ht="12.75">
      <c r="A16" s="114"/>
      <c r="B16" s="87"/>
      <c r="C16" s="90"/>
      <c r="D16" s="88">
        <f t="shared" si="6"/>
        <v>0</v>
      </c>
      <c r="E16" s="241">
        <v>0</v>
      </c>
      <c r="F16" s="10">
        <f t="shared" si="7"/>
        <v>0</v>
      </c>
      <c r="G16" s="10">
        <f>ROUND(F16*G$81,0)</f>
        <v>0</v>
      </c>
      <c r="H16" s="56">
        <f t="shared" si="8"/>
        <v>0</v>
      </c>
      <c r="I16" s="10">
        <f t="shared" si="9"/>
        <v>0</v>
      </c>
      <c r="J16" s="88">
        <f t="shared" si="10"/>
        <v>0</v>
      </c>
      <c r="K16" s="243">
        <f t="shared" si="11"/>
        <v>0</v>
      </c>
      <c r="L16" s="10">
        <f t="shared" si="12"/>
        <v>0</v>
      </c>
      <c r="M16" s="10">
        <f>ROUND(L16*M$81,0)</f>
        <v>0</v>
      </c>
      <c r="N16" s="56">
        <f t="shared" si="13"/>
        <v>0</v>
      </c>
      <c r="O16" s="10">
        <f t="shared" si="0"/>
        <v>0</v>
      </c>
      <c r="P16" s="88">
        <f t="shared" si="1"/>
        <v>0</v>
      </c>
      <c r="Q16" s="243">
        <f t="shared" si="14"/>
        <v>0</v>
      </c>
      <c r="R16" s="10">
        <f t="shared" si="15"/>
        <v>0</v>
      </c>
      <c r="S16" s="10">
        <f>ROUND(R16*S$81,0)</f>
        <v>0</v>
      </c>
      <c r="T16" s="56">
        <f t="shared" si="16"/>
        <v>0</v>
      </c>
      <c r="U16" s="10">
        <f t="shared" si="2"/>
        <v>0</v>
      </c>
      <c r="V16" s="88">
        <f t="shared" si="3"/>
        <v>0</v>
      </c>
      <c r="W16" s="243">
        <f t="shared" si="17"/>
        <v>0</v>
      </c>
      <c r="X16" s="10">
        <f t="shared" si="18"/>
        <v>0</v>
      </c>
      <c r="Y16" s="10">
        <f>ROUND(X16*Y$81,0)</f>
        <v>0</v>
      </c>
      <c r="Z16" s="56">
        <f t="shared" si="19"/>
        <v>0</v>
      </c>
      <c r="AA16" s="10">
        <f t="shared" si="4"/>
        <v>0</v>
      </c>
      <c r="AB16" s="88">
        <f t="shared" si="5"/>
        <v>0</v>
      </c>
      <c r="AC16" s="243">
        <f t="shared" si="20"/>
        <v>0</v>
      </c>
      <c r="AD16" s="10">
        <f t="shared" si="21"/>
        <v>0</v>
      </c>
      <c r="AE16" s="10">
        <f>ROUND(AD16*AE$81,0)</f>
        <v>0</v>
      </c>
      <c r="AF16" s="56">
        <f t="shared" si="22"/>
        <v>0</v>
      </c>
      <c r="AG16" s="43">
        <f t="shared" si="23"/>
        <v>0</v>
      </c>
      <c r="AH16" s="43"/>
      <c r="AI16" s="8"/>
    </row>
    <row r="17" spans="1:35" s="2" customFormat="1" ht="12.75">
      <c r="A17" s="114"/>
      <c r="B17" s="87"/>
      <c r="C17" s="90"/>
      <c r="D17" s="88">
        <f t="shared" si="6"/>
        <v>0</v>
      </c>
      <c r="E17" s="241">
        <v>0</v>
      </c>
      <c r="F17" s="10">
        <f t="shared" si="7"/>
        <v>0</v>
      </c>
      <c r="G17" s="10">
        <f>ROUND(F17*G$81,0)</f>
        <v>0</v>
      </c>
      <c r="H17" s="56">
        <f t="shared" si="8"/>
        <v>0</v>
      </c>
      <c r="I17" s="10">
        <f t="shared" si="9"/>
        <v>0</v>
      </c>
      <c r="J17" s="88">
        <f t="shared" si="10"/>
        <v>0</v>
      </c>
      <c r="K17" s="243">
        <f t="shared" si="11"/>
        <v>0</v>
      </c>
      <c r="L17" s="10">
        <f t="shared" si="12"/>
        <v>0</v>
      </c>
      <c r="M17" s="10">
        <f>ROUND(L17*M$81,0)</f>
        <v>0</v>
      </c>
      <c r="N17" s="56">
        <f t="shared" si="13"/>
        <v>0</v>
      </c>
      <c r="O17" s="10">
        <f t="shared" si="0"/>
        <v>0</v>
      </c>
      <c r="P17" s="88">
        <f t="shared" si="1"/>
        <v>0</v>
      </c>
      <c r="Q17" s="243">
        <f t="shared" si="14"/>
        <v>0</v>
      </c>
      <c r="R17" s="10">
        <f t="shared" si="15"/>
        <v>0</v>
      </c>
      <c r="S17" s="10">
        <f>ROUND(R17*S$81,0)</f>
        <v>0</v>
      </c>
      <c r="T17" s="56">
        <f t="shared" si="16"/>
        <v>0</v>
      </c>
      <c r="U17" s="10">
        <f t="shared" si="2"/>
        <v>0</v>
      </c>
      <c r="V17" s="88">
        <f t="shared" si="3"/>
        <v>0</v>
      </c>
      <c r="W17" s="243">
        <f t="shared" si="17"/>
        <v>0</v>
      </c>
      <c r="X17" s="10">
        <f t="shared" si="18"/>
        <v>0</v>
      </c>
      <c r="Y17" s="10">
        <f>ROUND(X17*Y$81,0)</f>
        <v>0</v>
      </c>
      <c r="Z17" s="56">
        <f t="shared" si="19"/>
        <v>0</v>
      </c>
      <c r="AA17" s="10">
        <f t="shared" si="4"/>
        <v>0</v>
      </c>
      <c r="AB17" s="88">
        <f t="shared" si="5"/>
        <v>0</v>
      </c>
      <c r="AC17" s="243">
        <f t="shared" si="20"/>
        <v>0</v>
      </c>
      <c r="AD17" s="10">
        <f t="shared" si="21"/>
        <v>0</v>
      </c>
      <c r="AE17" s="10">
        <f>ROUND(AD17*AE$81,0)</f>
        <v>0</v>
      </c>
      <c r="AF17" s="56">
        <f t="shared" si="22"/>
        <v>0</v>
      </c>
      <c r="AG17" s="43">
        <f t="shared" si="23"/>
        <v>0</v>
      </c>
      <c r="AH17" s="43"/>
      <c r="AI17" s="8"/>
    </row>
    <row r="18" spans="1:34" s="2" customFormat="1" ht="13.5" thickBot="1">
      <c r="A18" s="46"/>
      <c r="B18" s="47" t="s">
        <v>32</v>
      </c>
      <c r="F18" s="89">
        <f>SUM(F7:F17)</f>
        <v>0</v>
      </c>
      <c r="G18" s="81">
        <f>SUM(G7:G17)</f>
        <v>0</v>
      </c>
      <c r="H18" s="82">
        <f>SUM(H7:H17)</f>
        <v>0</v>
      </c>
      <c r="I18" s="110"/>
      <c r="J18" s="111"/>
      <c r="K18" s="243"/>
      <c r="L18" s="3">
        <f>SUM(L7:L17)</f>
        <v>0</v>
      </c>
      <c r="M18" s="3">
        <f>SUM(M7:M17)</f>
        <v>0</v>
      </c>
      <c r="N18" s="57">
        <f>SUM(N7:N17)</f>
        <v>0</v>
      </c>
      <c r="O18" s="110"/>
      <c r="P18" s="111"/>
      <c r="Q18" s="242"/>
      <c r="R18" s="3">
        <f>SUM(R7:R17)</f>
        <v>0</v>
      </c>
      <c r="S18" s="3">
        <f>SUM(S7:S17)</f>
        <v>0</v>
      </c>
      <c r="T18" s="57">
        <f>SUM(T7:T17)</f>
        <v>0</v>
      </c>
      <c r="U18" s="110"/>
      <c r="V18" s="111"/>
      <c r="W18" s="242"/>
      <c r="X18" s="3">
        <f>SUM(X7:X17)</f>
        <v>0</v>
      </c>
      <c r="Y18" s="3">
        <f>SUM(Y7:Y17)</f>
        <v>0</v>
      </c>
      <c r="Z18" s="109">
        <f>SUM(Z7:Z17)</f>
        <v>0</v>
      </c>
      <c r="AA18" s="110"/>
      <c r="AB18" s="111"/>
      <c r="AC18" s="242"/>
      <c r="AD18" s="3">
        <f>SUM(AD7:AD17)</f>
        <v>0</v>
      </c>
      <c r="AE18" s="3">
        <f>SUM(AE7:AE17)</f>
        <v>0</v>
      </c>
      <c r="AF18" s="57">
        <f>SUM(AF7:AF17)</f>
        <v>0</v>
      </c>
      <c r="AG18" s="43">
        <f t="shared" si="23"/>
        <v>0</v>
      </c>
      <c r="AH18" s="43" t="b">
        <f>IF(AG18=SUM(AG7:AG17),TRUE)</f>
        <v>1</v>
      </c>
    </row>
    <row r="19" spans="1:34" s="27" customFormat="1" ht="13.5" thickBot="1">
      <c r="A19" s="83" t="s">
        <v>33</v>
      </c>
      <c r="B19" s="84"/>
      <c r="C19" s="83"/>
      <c r="D19" s="84"/>
      <c r="E19" s="84"/>
      <c r="F19" s="84"/>
      <c r="G19" s="84"/>
      <c r="H19" s="85"/>
      <c r="I19" s="83"/>
      <c r="J19" s="84"/>
      <c r="K19" s="244"/>
      <c r="L19" s="84"/>
      <c r="M19" s="84"/>
      <c r="N19" s="85"/>
      <c r="O19" s="83"/>
      <c r="P19" s="84"/>
      <c r="Q19" s="84"/>
      <c r="R19" s="84"/>
      <c r="S19" s="84"/>
      <c r="T19" s="85"/>
      <c r="U19" s="83"/>
      <c r="V19" s="84"/>
      <c r="W19" s="84"/>
      <c r="X19" s="84"/>
      <c r="Y19" s="84"/>
      <c r="Z19" s="85"/>
      <c r="AA19" s="83"/>
      <c r="AB19" s="84"/>
      <c r="AC19" s="84"/>
      <c r="AD19" s="84"/>
      <c r="AE19" s="84"/>
      <c r="AF19" s="85"/>
      <c r="AG19" s="86"/>
      <c r="AH19" s="86"/>
    </row>
    <row r="20" spans="1:45" ht="39.75" customHeight="1">
      <c r="A20" s="25" t="s">
        <v>7</v>
      </c>
      <c r="B20" s="25" t="s">
        <v>53</v>
      </c>
      <c r="C20" s="91" t="s">
        <v>56</v>
      </c>
      <c r="D20" s="92" t="s">
        <v>57</v>
      </c>
      <c r="E20" s="93" t="s">
        <v>152</v>
      </c>
      <c r="F20" s="93" t="s">
        <v>58</v>
      </c>
      <c r="G20" s="93" t="s">
        <v>59</v>
      </c>
      <c r="H20" s="94" t="s">
        <v>60</v>
      </c>
      <c r="I20" s="91" t="s">
        <v>61</v>
      </c>
      <c r="J20" s="92" t="s">
        <v>62</v>
      </c>
      <c r="K20" s="93" t="s">
        <v>153</v>
      </c>
      <c r="L20" s="93" t="s">
        <v>63</v>
      </c>
      <c r="M20" s="93" t="s">
        <v>64</v>
      </c>
      <c r="N20" s="94" t="s">
        <v>65</v>
      </c>
      <c r="O20" s="91" t="s">
        <v>66</v>
      </c>
      <c r="P20" s="92" t="s">
        <v>67</v>
      </c>
      <c r="Q20" s="93" t="s">
        <v>157</v>
      </c>
      <c r="R20" s="93" t="s">
        <v>68</v>
      </c>
      <c r="S20" s="93" t="s">
        <v>69</v>
      </c>
      <c r="T20" s="94" t="s">
        <v>70</v>
      </c>
      <c r="U20" s="91" t="s">
        <v>71</v>
      </c>
      <c r="V20" s="92" t="s">
        <v>72</v>
      </c>
      <c r="W20" s="93" t="s">
        <v>156</v>
      </c>
      <c r="X20" s="93" t="s">
        <v>73</v>
      </c>
      <c r="Y20" s="93" t="s">
        <v>74</v>
      </c>
      <c r="Z20" s="94" t="s">
        <v>75</v>
      </c>
      <c r="AA20" s="91" t="s">
        <v>76</v>
      </c>
      <c r="AB20" s="92" t="s">
        <v>77</v>
      </c>
      <c r="AC20" s="93" t="s">
        <v>155</v>
      </c>
      <c r="AD20" s="93" t="s">
        <v>78</v>
      </c>
      <c r="AE20" s="93" t="s">
        <v>79</v>
      </c>
      <c r="AF20" s="94" t="s">
        <v>80</v>
      </c>
      <c r="AG20" s="42" t="s">
        <v>8</v>
      </c>
      <c r="AH20" s="42"/>
      <c r="AS20" s="1" t="s">
        <v>20</v>
      </c>
    </row>
    <row r="21" spans="1:35" s="2" customFormat="1" ht="12.75">
      <c r="A21" s="114"/>
      <c r="B21" s="87"/>
      <c r="C21" s="90"/>
      <c r="D21" s="88">
        <f>E21*12</f>
        <v>0</v>
      </c>
      <c r="E21" s="241">
        <v>0</v>
      </c>
      <c r="F21" s="10">
        <f>ROUND(IF(C21&gt;=$N$2,$N$2*E21,E21*C21),0)</f>
        <v>0</v>
      </c>
      <c r="G21" s="10">
        <f>ROUND(F21*G$81,0)</f>
        <v>0</v>
      </c>
      <c r="H21" s="56">
        <f>G21+F21</f>
        <v>0</v>
      </c>
      <c r="I21" s="10">
        <f>IF(N$4="yes",(C21*(1+$G$2)),0)</f>
        <v>0</v>
      </c>
      <c r="J21" s="88">
        <f>K21*12</f>
        <v>0</v>
      </c>
      <c r="K21" s="243">
        <f aca="true" t="shared" si="24" ref="K21:K31">IF($N$4="yes",E21,0)</f>
        <v>0</v>
      </c>
      <c r="L21" s="10">
        <f aca="true" t="shared" si="25" ref="L21:L31">ROUND(IF(I21&gt;=($N$2*(1+$G$2)),($N$2*(1+$G$2))*K21,K21*I21),0)</f>
        <v>0</v>
      </c>
      <c r="M21" s="10">
        <f>ROUND(L21*M$81,0)</f>
        <v>0</v>
      </c>
      <c r="N21" s="56">
        <f aca="true" t="shared" si="26" ref="N21:N31">M21+L21</f>
        <v>0</v>
      </c>
      <c r="O21" s="10">
        <f>IF(T$4="yes",(I21*(1+$G$2)),0)</f>
        <v>0</v>
      </c>
      <c r="P21" s="88">
        <f aca="true" t="shared" si="27" ref="P21:P31">Q21*12</f>
        <v>0</v>
      </c>
      <c r="Q21" s="243">
        <f>IF($T$4="yes",K21,0)</f>
        <v>0</v>
      </c>
      <c r="R21" s="10">
        <f aca="true" t="shared" si="28" ref="R21:R31">ROUND(IF(O21&gt;=($N$2*(1+$G$2)^2),($N$2*(1+$G$2)^2)*Q21,Q21*O21),0)</f>
        <v>0</v>
      </c>
      <c r="S21" s="10">
        <f>ROUND(R21*S$81,0)</f>
        <v>0</v>
      </c>
      <c r="T21" s="56">
        <f aca="true" t="shared" si="29" ref="T21:T31">S21+R21</f>
        <v>0</v>
      </c>
      <c r="U21" s="10">
        <f>IF(Z$4="yes",(O21*(1+$G$2)),0)</f>
        <v>0</v>
      </c>
      <c r="V21" s="88">
        <f aca="true" t="shared" si="30" ref="V21:V31">W21*12</f>
        <v>0</v>
      </c>
      <c r="W21" s="243">
        <f aca="true" t="shared" si="31" ref="W21:W31">IF($Z$4="yes",Q21,0)</f>
        <v>0</v>
      </c>
      <c r="X21" s="10">
        <f aca="true" t="shared" si="32" ref="X21:X31">ROUND(IF(U21&gt;=($N$2*(1+$G$2)^3),($N$2*(1+$G$2)^3)*W21,W21*U21),0)</f>
        <v>0</v>
      </c>
      <c r="Y21" s="10">
        <f>ROUND(X21*Y$81,0)</f>
        <v>0</v>
      </c>
      <c r="Z21" s="56">
        <f aca="true" t="shared" si="33" ref="Z21:Z31">Y21+X21</f>
        <v>0</v>
      </c>
      <c r="AA21" s="10">
        <f>IF(AF$4="yes",(U21*(1+$G$2)),0)</f>
        <v>0</v>
      </c>
      <c r="AB21" s="88">
        <f aca="true" t="shared" si="34" ref="AB21:AB31">AC21*12</f>
        <v>0</v>
      </c>
      <c r="AC21" s="243">
        <f aca="true" t="shared" si="35" ref="AC21:AC30">IF($AF$4="yes",W21,0)</f>
        <v>0</v>
      </c>
      <c r="AD21" s="10">
        <f aca="true" t="shared" si="36" ref="AD21:AD31">ROUND(IF(AA21&gt;=($N$2*(1+$G$2)^4),($N$2*(1+$G$2)^4)*AC21,AC21*AA21),0)</f>
        <v>0</v>
      </c>
      <c r="AE21" s="10">
        <f>ROUND(AD21*AE$81,0)</f>
        <v>0</v>
      </c>
      <c r="AF21" s="56">
        <f aca="true" t="shared" si="37" ref="AF21:AF31">AE21+AD21</f>
        <v>0</v>
      </c>
      <c r="AG21" s="43">
        <f>AF21+Z21+T21+N21+H21</f>
        <v>0</v>
      </c>
      <c r="AH21" s="43"/>
      <c r="AI21" s="8"/>
    </row>
    <row r="22" spans="1:35" s="2" customFormat="1" ht="12.75">
      <c r="A22" s="114"/>
      <c r="B22" s="95"/>
      <c r="C22" s="90"/>
      <c r="D22" s="88">
        <f aca="true" t="shared" si="38" ref="D22:D31">E22*12</f>
        <v>0</v>
      </c>
      <c r="E22" s="241">
        <v>0</v>
      </c>
      <c r="F22" s="10">
        <f aca="true" t="shared" si="39" ref="F22:F31">ROUND(IF(C22&gt;=$N$2,$N$2*E22,E22*C22),0)</f>
        <v>0</v>
      </c>
      <c r="G22" s="10">
        <f>ROUND(F22*G$81,0)</f>
        <v>0</v>
      </c>
      <c r="H22" s="56">
        <f aca="true" t="shared" si="40" ref="H22:H31">G22+F22</f>
        <v>0</v>
      </c>
      <c r="I22" s="10">
        <f aca="true" t="shared" si="41" ref="I22:I31">IF(N$4="yes",(C22*(1+$G$2)),0)</f>
        <v>0</v>
      </c>
      <c r="J22" s="88">
        <f aca="true" t="shared" si="42" ref="J22:J31">K22*12</f>
        <v>0</v>
      </c>
      <c r="K22" s="243">
        <f t="shared" si="24"/>
        <v>0</v>
      </c>
      <c r="L22" s="10">
        <f t="shared" si="25"/>
        <v>0</v>
      </c>
      <c r="M22" s="10">
        <f>ROUND(L22*M$81,0)</f>
        <v>0</v>
      </c>
      <c r="N22" s="56">
        <f t="shared" si="26"/>
        <v>0</v>
      </c>
      <c r="O22" s="10">
        <f aca="true" t="shared" si="43" ref="O22:O31">IF(T$4="yes",(I22*(1+$G$2)),0)</f>
        <v>0</v>
      </c>
      <c r="P22" s="88">
        <f t="shared" si="27"/>
        <v>0</v>
      </c>
      <c r="Q22" s="243">
        <f aca="true" t="shared" si="44" ref="Q22:Q31">IF($T$4="yes",K22,0)</f>
        <v>0</v>
      </c>
      <c r="R22" s="10">
        <f t="shared" si="28"/>
        <v>0</v>
      </c>
      <c r="S22" s="10">
        <f>ROUND(R22*S$81,0)</f>
        <v>0</v>
      </c>
      <c r="T22" s="56">
        <f t="shared" si="29"/>
        <v>0</v>
      </c>
      <c r="U22" s="10">
        <f aca="true" t="shared" si="45" ref="U22:U31">IF(Z$4="yes",(O22*(1+$G$2)),0)</f>
        <v>0</v>
      </c>
      <c r="V22" s="88">
        <f t="shared" si="30"/>
        <v>0</v>
      </c>
      <c r="W22" s="243">
        <f t="shared" si="31"/>
        <v>0</v>
      </c>
      <c r="X22" s="10">
        <f t="shared" si="32"/>
        <v>0</v>
      </c>
      <c r="Y22" s="10">
        <f>ROUND(X22*Y$81,0)</f>
        <v>0</v>
      </c>
      <c r="Z22" s="56">
        <f t="shared" si="33"/>
        <v>0</v>
      </c>
      <c r="AA22" s="10">
        <f aca="true" t="shared" si="46" ref="AA22:AA31">IF(AF$4="yes",(U22*(1+$G$2)),0)</f>
        <v>0</v>
      </c>
      <c r="AB22" s="88">
        <f t="shared" si="34"/>
        <v>0</v>
      </c>
      <c r="AC22" s="243">
        <f t="shared" si="35"/>
        <v>0</v>
      </c>
      <c r="AD22" s="10">
        <f t="shared" si="36"/>
        <v>0</v>
      </c>
      <c r="AE22" s="10">
        <f>ROUND(AD22*AE$81,0)</f>
        <v>0</v>
      </c>
      <c r="AF22" s="56">
        <f t="shared" si="37"/>
        <v>0</v>
      </c>
      <c r="AG22" s="43">
        <f aca="true" t="shared" si="47" ref="AG22:AG31">AF22+Z22+T22+N22+H22</f>
        <v>0</v>
      </c>
      <c r="AH22" s="43"/>
      <c r="AI22" s="8"/>
    </row>
    <row r="23" spans="1:35" s="2" customFormat="1" ht="12.75">
      <c r="A23" s="114"/>
      <c r="B23" s="95"/>
      <c r="C23" s="90"/>
      <c r="D23" s="88">
        <f t="shared" si="38"/>
        <v>0</v>
      </c>
      <c r="E23" s="241">
        <v>0</v>
      </c>
      <c r="F23" s="10">
        <f t="shared" si="39"/>
        <v>0</v>
      </c>
      <c r="G23" s="10">
        <f>ROUND(F23*G$81,0)</f>
        <v>0</v>
      </c>
      <c r="H23" s="56">
        <f t="shared" si="40"/>
        <v>0</v>
      </c>
      <c r="I23" s="10">
        <f>IF(N$4="yes",(C23*(1+$G$2)),0)</f>
        <v>0</v>
      </c>
      <c r="J23" s="88">
        <f t="shared" si="42"/>
        <v>0</v>
      </c>
      <c r="K23" s="243">
        <f t="shared" si="24"/>
        <v>0</v>
      </c>
      <c r="L23" s="10">
        <f t="shared" si="25"/>
        <v>0</v>
      </c>
      <c r="M23" s="10">
        <f>ROUND(L23*M$81,0)</f>
        <v>0</v>
      </c>
      <c r="N23" s="56">
        <f t="shared" si="26"/>
        <v>0</v>
      </c>
      <c r="O23" s="10">
        <f>IF(T$4="yes",(I23*(1+$G$2)),0)</f>
        <v>0</v>
      </c>
      <c r="P23" s="88">
        <f t="shared" si="27"/>
        <v>0</v>
      </c>
      <c r="Q23" s="243">
        <f t="shared" si="44"/>
        <v>0</v>
      </c>
      <c r="R23" s="10">
        <f t="shared" si="28"/>
        <v>0</v>
      </c>
      <c r="S23" s="10">
        <f>ROUND(R23*S$81,0)</f>
        <v>0</v>
      </c>
      <c r="T23" s="56">
        <f t="shared" si="29"/>
        <v>0</v>
      </c>
      <c r="U23" s="10">
        <f>IF(Z$4="yes",(O23*(1+$G$2)),0)</f>
        <v>0</v>
      </c>
      <c r="V23" s="88">
        <f t="shared" si="30"/>
        <v>0</v>
      </c>
      <c r="W23" s="243">
        <f t="shared" si="31"/>
        <v>0</v>
      </c>
      <c r="X23" s="10">
        <f t="shared" si="32"/>
        <v>0</v>
      </c>
      <c r="Y23" s="10">
        <f>ROUND(X23*Y$81,0)</f>
        <v>0</v>
      </c>
      <c r="Z23" s="56">
        <f t="shared" si="33"/>
        <v>0</v>
      </c>
      <c r="AA23" s="10">
        <f>IF(AF$4="yes",(U23*(1+$G$2)),0)</f>
        <v>0</v>
      </c>
      <c r="AB23" s="88">
        <f t="shared" si="34"/>
        <v>0</v>
      </c>
      <c r="AC23" s="243">
        <f t="shared" si="35"/>
        <v>0</v>
      </c>
      <c r="AD23" s="10">
        <f t="shared" si="36"/>
        <v>0</v>
      </c>
      <c r="AE23" s="10">
        <f>ROUND(AD23*AE$81,0)</f>
        <v>0</v>
      </c>
      <c r="AF23" s="56">
        <f t="shared" si="37"/>
        <v>0</v>
      </c>
      <c r="AG23" s="43">
        <f>AF23+Z23+T23+N23+H23</f>
        <v>0</v>
      </c>
      <c r="AH23" s="43"/>
      <c r="AI23" s="8"/>
    </row>
    <row r="24" spans="1:35" s="2" customFormat="1" ht="12.75">
      <c r="A24" s="114"/>
      <c r="B24" s="95"/>
      <c r="C24" s="90"/>
      <c r="D24" s="88">
        <f t="shared" si="38"/>
        <v>0</v>
      </c>
      <c r="E24" s="241">
        <v>0</v>
      </c>
      <c r="F24" s="10">
        <f t="shared" si="39"/>
        <v>0</v>
      </c>
      <c r="G24" s="10">
        <f>ROUND(F24*G$81,0)</f>
        <v>0</v>
      </c>
      <c r="H24" s="56">
        <f t="shared" si="40"/>
        <v>0</v>
      </c>
      <c r="I24" s="10">
        <f t="shared" si="41"/>
        <v>0</v>
      </c>
      <c r="J24" s="88">
        <f t="shared" si="42"/>
        <v>0</v>
      </c>
      <c r="K24" s="243">
        <f t="shared" si="24"/>
        <v>0</v>
      </c>
      <c r="L24" s="10">
        <f t="shared" si="25"/>
        <v>0</v>
      </c>
      <c r="M24" s="10">
        <f>ROUND(L24*M$81,0)</f>
        <v>0</v>
      </c>
      <c r="N24" s="56">
        <f t="shared" si="26"/>
        <v>0</v>
      </c>
      <c r="O24" s="10">
        <f t="shared" si="43"/>
        <v>0</v>
      </c>
      <c r="P24" s="88">
        <f t="shared" si="27"/>
        <v>0</v>
      </c>
      <c r="Q24" s="243">
        <f t="shared" si="44"/>
        <v>0</v>
      </c>
      <c r="R24" s="10">
        <f t="shared" si="28"/>
        <v>0</v>
      </c>
      <c r="S24" s="10">
        <f>ROUND(R24*S$81,0)</f>
        <v>0</v>
      </c>
      <c r="T24" s="56">
        <f t="shared" si="29"/>
        <v>0</v>
      </c>
      <c r="U24" s="10">
        <f t="shared" si="45"/>
        <v>0</v>
      </c>
      <c r="V24" s="88">
        <f t="shared" si="30"/>
        <v>0</v>
      </c>
      <c r="W24" s="243">
        <f t="shared" si="31"/>
        <v>0</v>
      </c>
      <c r="X24" s="10">
        <f t="shared" si="32"/>
        <v>0</v>
      </c>
      <c r="Y24" s="10">
        <f>ROUND(X24*Y$81,0)</f>
        <v>0</v>
      </c>
      <c r="Z24" s="56">
        <f t="shared" si="33"/>
        <v>0</v>
      </c>
      <c r="AA24" s="10">
        <f t="shared" si="46"/>
        <v>0</v>
      </c>
      <c r="AB24" s="88">
        <f t="shared" si="34"/>
        <v>0</v>
      </c>
      <c r="AC24" s="243">
        <f t="shared" si="35"/>
        <v>0</v>
      </c>
      <c r="AD24" s="10">
        <f t="shared" si="36"/>
        <v>0</v>
      </c>
      <c r="AE24" s="10">
        <f>ROUND(AD24*AE$81,0)</f>
        <v>0</v>
      </c>
      <c r="AF24" s="56">
        <f t="shared" si="37"/>
        <v>0</v>
      </c>
      <c r="AG24" s="43">
        <f t="shared" si="47"/>
        <v>0</v>
      </c>
      <c r="AH24" s="43"/>
      <c r="AI24" s="8"/>
    </row>
    <row r="25" spans="1:35" s="2" customFormat="1" ht="12.75">
      <c r="A25" s="114"/>
      <c r="B25" s="95"/>
      <c r="C25" s="90"/>
      <c r="D25" s="88">
        <f t="shared" si="38"/>
        <v>0</v>
      </c>
      <c r="E25" s="241">
        <v>0</v>
      </c>
      <c r="F25" s="10">
        <f t="shared" si="39"/>
        <v>0</v>
      </c>
      <c r="G25" s="10">
        <f>ROUND(F25*G$81,0)</f>
        <v>0</v>
      </c>
      <c r="H25" s="56">
        <f t="shared" si="40"/>
        <v>0</v>
      </c>
      <c r="I25" s="10"/>
      <c r="J25" s="88">
        <f t="shared" si="42"/>
        <v>0</v>
      </c>
      <c r="K25" s="243">
        <f t="shared" si="24"/>
        <v>0</v>
      </c>
      <c r="L25" s="10">
        <f t="shared" si="25"/>
        <v>0</v>
      </c>
      <c r="M25" s="10">
        <f>ROUND(L25*M$81,0)</f>
        <v>0</v>
      </c>
      <c r="N25" s="56">
        <f t="shared" si="26"/>
        <v>0</v>
      </c>
      <c r="O25" s="10"/>
      <c r="P25" s="88">
        <f t="shared" si="27"/>
        <v>0</v>
      </c>
      <c r="Q25" s="243">
        <f t="shared" si="44"/>
        <v>0</v>
      </c>
      <c r="R25" s="10">
        <f t="shared" si="28"/>
        <v>0</v>
      </c>
      <c r="S25" s="10">
        <f>ROUND(R25*S$81,0)</f>
        <v>0</v>
      </c>
      <c r="T25" s="56">
        <f t="shared" si="29"/>
        <v>0</v>
      </c>
      <c r="U25" s="10"/>
      <c r="V25" s="88">
        <f t="shared" si="30"/>
        <v>0</v>
      </c>
      <c r="W25" s="243">
        <f t="shared" si="31"/>
        <v>0</v>
      </c>
      <c r="X25" s="10">
        <f t="shared" si="32"/>
        <v>0</v>
      </c>
      <c r="Y25" s="10">
        <f>ROUND(X25*Y$81,0)</f>
        <v>0</v>
      </c>
      <c r="Z25" s="56">
        <f t="shared" si="33"/>
        <v>0</v>
      </c>
      <c r="AA25" s="10"/>
      <c r="AB25" s="88">
        <f t="shared" si="34"/>
        <v>0</v>
      </c>
      <c r="AC25" s="243">
        <f t="shared" si="35"/>
        <v>0</v>
      </c>
      <c r="AD25" s="10">
        <f t="shared" si="36"/>
        <v>0</v>
      </c>
      <c r="AE25" s="10">
        <f>ROUND(AD25*AE$81,0)</f>
        <v>0</v>
      </c>
      <c r="AF25" s="56">
        <f t="shared" si="37"/>
        <v>0</v>
      </c>
      <c r="AG25" s="43"/>
      <c r="AH25" s="43"/>
      <c r="AI25" s="8"/>
    </row>
    <row r="26" spans="1:35" s="2" customFormat="1" ht="12.75">
      <c r="A26" s="114"/>
      <c r="B26" s="95"/>
      <c r="C26" s="90"/>
      <c r="D26" s="88">
        <f t="shared" si="38"/>
        <v>0</v>
      </c>
      <c r="E26" s="241">
        <v>0</v>
      </c>
      <c r="F26" s="10">
        <f t="shared" si="39"/>
        <v>0</v>
      </c>
      <c r="G26" s="10">
        <f>ROUND(F26*G$81,0)</f>
        <v>0</v>
      </c>
      <c r="H26" s="56">
        <f t="shared" si="40"/>
        <v>0</v>
      </c>
      <c r="I26" s="10">
        <f t="shared" si="41"/>
        <v>0</v>
      </c>
      <c r="J26" s="88">
        <f t="shared" si="42"/>
        <v>0</v>
      </c>
      <c r="K26" s="243">
        <f t="shared" si="24"/>
        <v>0</v>
      </c>
      <c r="L26" s="10">
        <f t="shared" si="25"/>
        <v>0</v>
      </c>
      <c r="M26" s="10">
        <f>ROUND(L26*M$81,0)</f>
        <v>0</v>
      </c>
      <c r="N26" s="56">
        <f t="shared" si="26"/>
        <v>0</v>
      </c>
      <c r="O26" s="10">
        <f t="shared" si="43"/>
        <v>0</v>
      </c>
      <c r="P26" s="88">
        <f t="shared" si="27"/>
        <v>0</v>
      </c>
      <c r="Q26" s="243">
        <f t="shared" si="44"/>
        <v>0</v>
      </c>
      <c r="R26" s="10">
        <f t="shared" si="28"/>
        <v>0</v>
      </c>
      <c r="S26" s="10">
        <f>ROUND(R26*S$81,0)</f>
        <v>0</v>
      </c>
      <c r="T26" s="56">
        <f t="shared" si="29"/>
        <v>0</v>
      </c>
      <c r="U26" s="10">
        <f t="shared" si="45"/>
        <v>0</v>
      </c>
      <c r="V26" s="88">
        <f t="shared" si="30"/>
        <v>0</v>
      </c>
      <c r="W26" s="243">
        <f t="shared" si="31"/>
        <v>0</v>
      </c>
      <c r="X26" s="10">
        <f t="shared" si="32"/>
        <v>0</v>
      </c>
      <c r="Y26" s="10">
        <f>ROUND(X26*Y$81,0)</f>
        <v>0</v>
      </c>
      <c r="Z26" s="56">
        <f t="shared" si="33"/>
        <v>0</v>
      </c>
      <c r="AA26" s="10">
        <f t="shared" si="46"/>
        <v>0</v>
      </c>
      <c r="AB26" s="88">
        <f t="shared" si="34"/>
        <v>0</v>
      </c>
      <c r="AC26" s="243">
        <f t="shared" si="35"/>
        <v>0</v>
      </c>
      <c r="AD26" s="10">
        <f t="shared" si="36"/>
        <v>0</v>
      </c>
      <c r="AE26" s="10">
        <f>ROUND(AD26*AE$81,0)</f>
        <v>0</v>
      </c>
      <c r="AF26" s="56">
        <f t="shared" si="37"/>
        <v>0</v>
      </c>
      <c r="AG26" s="43">
        <f t="shared" si="47"/>
        <v>0</v>
      </c>
      <c r="AH26" s="43"/>
      <c r="AI26" s="8"/>
    </row>
    <row r="27" spans="1:34" s="2" customFormat="1" ht="12.75">
      <c r="A27" s="114"/>
      <c r="B27" s="95"/>
      <c r="C27" s="90"/>
      <c r="D27" s="88">
        <f t="shared" si="38"/>
        <v>0</v>
      </c>
      <c r="E27" s="241">
        <v>0</v>
      </c>
      <c r="F27" s="10">
        <f t="shared" si="39"/>
        <v>0</v>
      </c>
      <c r="G27" s="10">
        <f>ROUND(F27*G$81,0)</f>
        <v>0</v>
      </c>
      <c r="H27" s="56">
        <f t="shared" si="40"/>
        <v>0</v>
      </c>
      <c r="I27" s="10">
        <f t="shared" si="41"/>
        <v>0</v>
      </c>
      <c r="J27" s="88">
        <f t="shared" si="42"/>
        <v>0</v>
      </c>
      <c r="K27" s="243">
        <f t="shared" si="24"/>
        <v>0</v>
      </c>
      <c r="L27" s="10">
        <f t="shared" si="25"/>
        <v>0</v>
      </c>
      <c r="M27" s="10">
        <f>ROUND(L27*M$81,0)</f>
        <v>0</v>
      </c>
      <c r="N27" s="56">
        <f t="shared" si="26"/>
        <v>0</v>
      </c>
      <c r="O27" s="10">
        <f t="shared" si="43"/>
        <v>0</v>
      </c>
      <c r="P27" s="88">
        <f t="shared" si="27"/>
        <v>0</v>
      </c>
      <c r="Q27" s="243">
        <f t="shared" si="44"/>
        <v>0</v>
      </c>
      <c r="R27" s="10">
        <f t="shared" si="28"/>
        <v>0</v>
      </c>
      <c r="S27" s="10">
        <f>ROUND(R27*S$81,0)</f>
        <v>0</v>
      </c>
      <c r="T27" s="56">
        <f t="shared" si="29"/>
        <v>0</v>
      </c>
      <c r="U27" s="10">
        <f t="shared" si="45"/>
        <v>0</v>
      </c>
      <c r="V27" s="88">
        <f t="shared" si="30"/>
        <v>0</v>
      </c>
      <c r="W27" s="243">
        <f t="shared" si="31"/>
        <v>0</v>
      </c>
      <c r="X27" s="10">
        <f t="shared" si="32"/>
        <v>0</v>
      </c>
      <c r="Y27" s="10">
        <f>ROUND(X27*Y$81,0)</f>
        <v>0</v>
      </c>
      <c r="Z27" s="56">
        <f t="shared" si="33"/>
        <v>0</v>
      </c>
      <c r="AA27" s="10">
        <f t="shared" si="46"/>
        <v>0</v>
      </c>
      <c r="AB27" s="88">
        <f t="shared" si="34"/>
        <v>0</v>
      </c>
      <c r="AC27" s="243">
        <f t="shared" si="35"/>
        <v>0</v>
      </c>
      <c r="AD27" s="10">
        <f t="shared" si="36"/>
        <v>0</v>
      </c>
      <c r="AE27" s="10">
        <f>ROUND(AD27*AE$81,0)</f>
        <v>0</v>
      </c>
      <c r="AF27" s="56">
        <f t="shared" si="37"/>
        <v>0</v>
      </c>
      <c r="AG27" s="43">
        <f t="shared" si="47"/>
        <v>0</v>
      </c>
      <c r="AH27" s="43"/>
    </row>
    <row r="28" spans="1:34" s="2" customFormat="1" ht="12.75">
      <c r="A28" s="114"/>
      <c r="B28" s="95"/>
      <c r="C28" s="90"/>
      <c r="D28" s="88">
        <f t="shared" si="38"/>
        <v>0</v>
      </c>
      <c r="E28" s="241">
        <v>0</v>
      </c>
      <c r="F28" s="10">
        <f t="shared" si="39"/>
        <v>0</v>
      </c>
      <c r="G28" s="10">
        <f>ROUND(F28*G$81,0)</f>
        <v>0</v>
      </c>
      <c r="H28" s="56">
        <f t="shared" si="40"/>
        <v>0</v>
      </c>
      <c r="I28" s="10">
        <f t="shared" si="41"/>
        <v>0</v>
      </c>
      <c r="J28" s="88">
        <f t="shared" si="42"/>
        <v>0</v>
      </c>
      <c r="K28" s="243">
        <f t="shared" si="24"/>
        <v>0</v>
      </c>
      <c r="L28" s="10">
        <f t="shared" si="25"/>
        <v>0</v>
      </c>
      <c r="M28" s="10">
        <f>ROUND(L28*M$81,0)</f>
        <v>0</v>
      </c>
      <c r="N28" s="56">
        <f t="shared" si="26"/>
        <v>0</v>
      </c>
      <c r="O28" s="10">
        <f t="shared" si="43"/>
        <v>0</v>
      </c>
      <c r="P28" s="88">
        <f t="shared" si="27"/>
        <v>0</v>
      </c>
      <c r="Q28" s="243">
        <f t="shared" si="44"/>
        <v>0</v>
      </c>
      <c r="R28" s="10">
        <f t="shared" si="28"/>
        <v>0</v>
      </c>
      <c r="S28" s="10">
        <f>ROUND(R28*S$81,0)</f>
        <v>0</v>
      </c>
      <c r="T28" s="56">
        <f t="shared" si="29"/>
        <v>0</v>
      </c>
      <c r="U28" s="10">
        <f t="shared" si="45"/>
        <v>0</v>
      </c>
      <c r="V28" s="88">
        <f t="shared" si="30"/>
        <v>0</v>
      </c>
      <c r="W28" s="243">
        <f t="shared" si="31"/>
        <v>0</v>
      </c>
      <c r="X28" s="10">
        <f t="shared" si="32"/>
        <v>0</v>
      </c>
      <c r="Y28" s="10">
        <f>ROUND(X28*Y$81,0)</f>
        <v>0</v>
      </c>
      <c r="Z28" s="56">
        <f t="shared" si="33"/>
        <v>0</v>
      </c>
      <c r="AA28" s="10">
        <f t="shared" si="46"/>
        <v>0</v>
      </c>
      <c r="AB28" s="88">
        <f t="shared" si="34"/>
        <v>0</v>
      </c>
      <c r="AC28" s="243">
        <f t="shared" si="35"/>
        <v>0</v>
      </c>
      <c r="AD28" s="10">
        <f t="shared" si="36"/>
        <v>0</v>
      </c>
      <c r="AE28" s="10">
        <f>ROUND(AD28*AE$81,0)</f>
        <v>0</v>
      </c>
      <c r="AF28" s="56">
        <f t="shared" si="37"/>
        <v>0</v>
      </c>
      <c r="AG28" s="43">
        <f t="shared" si="47"/>
        <v>0</v>
      </c>
      <c r="AH28" s="43"/>
    </row>
    <row r="29" spans="1:34" s="2" customFormat="1" ht="12.75">
      <c r="A29" s="114"/>
      <c r="B29" s="95"/>
      <c r="C29" s="90"/>
      <c r="D29" s="88">
        <f t="shared" si="38"/>
        <v>0</v>
      </c>
      <c r="E29" s="241">
        <v>0</v>
      </c>
      <c r="F29" s="10">
        <f t="shared" si="39"/>
        <v>0</v>
      </c>
      <c r="G29" s="10">
        <f>ROUND(F29*G$81,0)</f>
        <v>0</v>
      </c>
      <c r="H29" s="56">
        <f t="shared" si="40"/>
        <v>0</v>
      </c>
      <c r="I29" s="10">
        <f t="shared" si="41"/>
        <v>0</v>
      </c>
      <c r="J29" s="88">
        <f t="shared" si="42"/>
        <v>0</v>
      </c>
      <c r="K29" s="243">
        <f t="shared" si="24"/>
        <v>0</v>
      </c>
      <c r="L29" s="10">
        <f t="shared" si="25"/>
        <v>0</v>
      </c>
      <c r="M29" s="10">
        <f>ROUND(L29*M$81,0)</f>
        <v>0</v>
      </c>
      <c r="N29" s="56">
        <f t="shared" si="26"/>
        <v>0</v>
      </c>
      <c r="O29" s="10">
        <f t="shared" si="43"/>
        <v>0</v>
      </c>
      <c r="P29" s="88">
        <f t="shared" si="27"/>
        <v>0</v>
      </c>
      <c r="Q29" s="243">
        <f t="shared" si="44"/>
        <v>0</v>
      </c>
      <c r="R29" s="10">
        <f t="shared" si="28"/>
        <v>0</v>
      </c>
      <c r="S29" s="10">
        <f>ROUND(R29*S$81,0)</f>
        <v>0</v>
      </c>
      <c r="T29" s="56">
        <f t="shared" si="29"/>
        <v>0</v>
      </c>
      <c r="U29" s="10">
        <f t="shared" si="45"/>
        <v>0</v>
      </c>
      <c r="V29" s="88">
        <f t="shared" si="30"/>
        <v>0</v>
      </c>
      <c r="W29" s="243">
        <f t="shared" si="31"/>
        <v>0</v>
      </c>
      <c r="X29" s="10">
        <f t="shared" si="32"/>
        <v>0</v>
      </c>
      <c r="Y29" s="10">
        <f>ROUND(X29*Y$81,0)</f>
        <v>0</v>
      </c>
      <c r="Z29" s="56">
        <f t="shared" si="33"/>
        <v>0</v>
      </c>
      <c r="AA29" s="10">
        <f t="shared" si="46"/>
        <v>0</v>
      </c>
      <c r="AB29" s="88">
        <f t="shared" si="34"/>
        <v>0</v>
      </c>
      <c r="AC29" s="243">
        <f t="shared" si="35"/>
        <v>0</v>
      </c>
      <c r="AD29" s="10">
        <f t="shared" si="36"/>
        <v>0</v>
      </c>
      <c r="AE29" s="10">
        <f>ROUND(AD29*AE$81,0)</f>
        <v>0</v>
      </c>
      <c r="AF29" s="56">
        <f t="shared" si="37"/>
        <v>0</v>
      </c>
      <c r="AG29" s="43">
        <f t="shared" si="47"/>
        <v>0</v>
      </c>
      <c r="AH29" s="43"/>
    </row>
    <row r="30" spans="1:34" s="2" customFormat="1" ht="12.75">
      <c r="A30" s="114"/>
      <c r="B30" s="95"/>
      <c r="C30" s="90"/>
      <c r="D30" s="88">
        <f t="shared" si="38"/>
        <v>0</v>
      </c>
      <c r="E30" s="241">
        <v>0</v>
      </c>
      <c r="F30" s="10">
        <f t="shared" si="39"/>
        <v>0</v>
      </c>
      <c r="G30" s="10">
        <f>ROUND(F30*G$81,0)</f>
        <v>0</v>
      </c>
      <c r="H30" s="56">
        <f t="shared" si="40"/>
        <v>0</v>
      </c>
      <c r="I30" s="10">
        <f t="shared" si="41"/>
        <v>0</v>
      </c>
      <c r="J30" s="88">
        <f t="shared" si="42"/>
        <v>0</v>
      </c>
      <c r="K30" s="243">
        <f t="shared" si="24"/>
        <v>0</v>
      </c>
      <c r="L30" s="10">
        <f t="shared" si="25"/>
        <v>0</v>
      </c>
      <c r="M30" s="10">
        <f>ROUND(L30*M$81,0)</f>
        <v>0</v>
      </c>
      <c r="N30" s="56">
        <f t="shared" si="26"/>
        <v>0</v>
      </c>
      <c r="O30" s="10">
        <f t="shared" si="43"/>
        <v>0</v>
      </c>
      <c r="P30" s="88">
        <f t="shared" si="27"/>
        <v>0</v>
      </c>
      <c r="Q30" s="243">
        <f t="shared" si="44"/>
        <v>0</v>
      </c>
      <c r="R30" s="10">
        <f t="shared" si="28"/>
        <v>0</v>
      </c>
      <c r="S30" s="10">
        <f>ROUND(R30*S$81,0)</f>
        <v>0</v>
      </c>
      <c r="T30" s="56">
        <f t="shared" si="29"/>
        <v>0</v>
      </c>
      <c r="U30" s="10">
        <f t="shared" si="45"/>
        <v>0</v>
      </c>
      <c r="V30" s="88">
        <f t="shared" si="30"/>
        <v>0</v>
      </c>
      <c r="W30" s="243">
        <f t="shared" si="31"/>
        <v>0</v>
      </c>
      <c r="X30" s="10">
        <f t="shared" si="32"/>
        <v>0</v>
      </c>
      <c r="Y30" s="10">
        <f>ROUND(X30*Y$81,0)</f>
        <v>0</v>
      </c>
      <c r="Z30" s="56">
        <f t="shared" si="33"/>
        <v>0</v>
      </c>
      <c r="AA30" s="10">
        <f t="shared" si="46"/>
        <v>0</v>
      </c>
      <c r="AB30" s="88">
        <f t="shared" si="34"/>
        <v>0</v>
      </c>
      <c r="AC30" s="243">
        <f t="shared" si="35"/>
        <v>0</v>
      </c>
      <c r="AD30" s="10">
        <f t="shared" si="36"/>
        <v>0</v>
      </c>
      <c r="AE30" s="10">
        <f>ROUND(AD30*AE$81,0)</f>
        <v>0</v>
      </c>
      <c r="AF30" s="56">
        <f t="shared" si="37"/>
        <v>0</v>
      </c>
      <c r="AG30" s="43">
        <f t="shared" si="47"/>
        <v>0</v>
      </c>
      <c r="AH30" s="43"/>
    </row>
    <row r="31" spans="1:34" s="2" customFormat="1" ht="12.75">
      <c r="A31" s="114"/>
      <c r="B31" s="95"/>
      <c r="C31" s="90"/>
      <c r="D31" s="88">
        <f t="shared" si="38"/>
        <v>0</v>
      </c>
      <c r="E31" s="241">
        <v>0</v>
      </c>
      <c r="F31" s="10">
        <f t="shared" si="39"/>
        <v>0</v>
      </c>
      <c r="G31" s="10">
        <f>ROUND(F31*G$81,0)</f>
        <v>0</v>
      </c>
      <c r="H31" s="56">
        <f t="shared" si="40"/>
        <v>0</v>
      </c>
      <c r="I31" s="10">
        <f t="shared" si="41"/>
        <v>0</v>
      </c>
      <c r="J31" s="88">
        <f t="shared" si="42"/>
        <v>0</v>
      </c>
      <c r="K31" s="243">
        <f t="shared" si="24"/>
        <v>0</v>
      </c>
      <c r="L31" s="10">
        <f t="shared" si="25"/>
        <v>0</v>
      </c>
      <c r="M31" s="10">
        <f>ROUND(L31*M$81,0)</f>
        <v>0</v>
      </c>
      <c r="N31" s="56">
        <f t="shared" si="26"/>
        <v>0</v>
      </c>
      <c r="O31" s="10">
        <f t="shared" si="43"/>
        <v>0</v>
      </c>
      <c r="P31" s="88">
        <f t="shared" si="27"/>
        <v>0</v>
      </c>
      <c r="Q31" s="243">
        <f t="shared" si="44"/>
        <v>0</v>
      </c>
      <c r="R31" s="10">
        <f t="shared" si="28"/>
        <v>0</v>
      </c>
      <c r="S31" s="10">
        <f>ROUND(R31*S$81,0)</f>
        <v>0</v>
      </c>
      <c r="T31" s="56">
        <f t="shared" si="29"/>
        <v>0</v>
      </c>
      <c r="U31" s="10">
        <f t="shared" si="45"/>
        <v>0</v>
      </c>
      <c r="V31" s="88">
        <f t="shared" si="30"/>
        <v>0</v>
      </c>
      <c r="W31" s="243">
        <f t="shared" si="31"/>
        <v>0</v>
      </c>
      <c r="X31" s="10">
        <f t="shared" si="32"/>
        <v>0</v>
      </c>
      <c r="Y31" s="10">
        <f>ROUND(X31*Y$81,0)</f>
        <v>0</v>
      </c>
      <c r="Z31" s="56">
        <f t="shared" si="33"/>
        <v>0</v>
      </c>
      <c r="AA31" s="10">
        <f t="shared" si="46"/>
        <v>0</v>
      </c>
      <c r="AB31" s="88">
        <f t="shared" si="34"/>
        <v>0</v>
      </c>
      <c r="AC31" s="243">
        <v>0</v>
      </c>
      <c r="AD31" s="10">
        <f t="shared" si="36"/>
        <v>0</v>
      </c>
      <c r="AE31" s="10">
        <f>ROUND(AD31*AE$81,0)</f>
        <v>0</v>
      </c>
      <c r="AF31" s="56">
        <f t="shared" si="37"/>
        <v>0</v>
      </c>
      <c r="AG31" s="43">
        <f t="shared" si="47"/>
        <v>0</v>
      </c>
      <c r="AH31" s="43"/>
    </row>
    <row r="32" spans="1:34" s="2" customFormat="1" ht="13.5" thickBot="1">
      <c r="A32" s="46"/>
      <c r="B32" s="47" t="s">
        <v>34</v>
      </c>
      <c r="F32" s="89">
        <f>SUM(F21:F31)</f>
        <v>0</v>
      </c>
      <c r="G32" s="81">
        <f>SUM(G21:G31)</f>
        <v>0</v>
      </c>
      <c r="H32" s="82">
        <f>SUM(H21:H31)</f>
        <v>0</v>
      </c>
      <c r="I32" s="110"/>
      <c r="J32" s="88"/>
      <c r="K32" s="243"/>
      <c r="L32" s="3">
        <f>SUM(L21:L31)</f>
        <v>0</v>
      </c>
      <c r="M32" s="3">
        <f>SUM(M21:M31)</f>
        <v>0</v>
      </c>
      <c r="N32" s="57">
        <f>SUM(N21:N31)</f>
        <v>0</v>
      </c>
      <c r="O32" s="110"/>
      <c r="P32" s="111"/>
      <c r="Q32" s="242"/>
      <c r="R32" s="3">
        <f>SUM(R21:R31)</f>
        <v>0</v>
      </c>
      <c r="S32" s="3">
        <f>SUM(S21:S31)</f>
        <v>0</v>
      </c>
      <c r="T32" s="57">
        <f>SUM(T21:T31)</f>
        <v>0</v>
      </c>
      <c r="U32" s="110"/>
      <c r="V32" s="111"/>
      <c r="W32" s="242"/>
      <c r="X32" s="3">
        <f>SUM(X21:X31)</f>
        <v>0</v>
      </c>
      <c r="Y32" s="3">
        <f>SUM(Y21:Y31)</f>
        <v>0</v>
      </c>
      <c r="Z32" s="109">
        <f>SUM(Z21:Z31)</f>
        <v>0</v>
      </c>
      <c r="AA32" s="110"/>
      <c r="AB32" s="111"/>
      <c r="AC32" s="242"/>
      <c r="AD32" s="3">
        <f>SUM(AD21:AD31)</f>
        <v>0</v>
      </c>
      <c r="AE32" s="3">
        <f>SUM(AE21:AE31)</f>
        <v>0</v>
      </c>
      <c r="AF32" s="57">
        <f>SUM(AF21:AF31)</f>
        <v>0</v>
      </c>
      <c r="AG32" s="43">
        <f>AF32+Z32+T32+N32+H32</f>
        <v>0</v>
      </c>
      <c r="AH32" s="43" t="b">
        <f>IF(AG32=SUM(AG21:AG31),TRUE)</f>
        <v>1</v>
      </c>
    </row>
    <row r="33" spans="1:34" s="27" customFormat="1" ht="13.5" thickBot="1">
      <c r="A33" s="83"/>
      <c r="B33" s="84"/>
      <c r="C33" s="84"/>
      <c r="D33" s="84"/>
      <c r="E33" s="84"/>
      <c r="F33" s="84"/>
      <c r="G33" s="84"/>
      <c r="H33" s="85"/>
      <c r="I33" s="83"/>
      <c r="J33" s="84"/>
      <c r="K33" s="84"/>
      <c r="L33" s="84"/>
      <c r="M33" s="84"/>
      <c r="N33" s="85"/>
      <c r="O33" s="83"/>
      <c r="P33" s="84"/>
      <c r="Q33" s="84"/>
      <c r="R33" s="84"/>
      <c r="S33" s="84"/>
      <c r="T33" s="85"/>
      <c r="U33" s="83"/>
      <c r="V33" s="84"/>
      <c r="W33" s="84"/>
      <c r="X33" s="84"/>
      <c r="Y33" s="84"/>
      <c r="Z33" s="85"/>
      <c r="AA33" s="83"/>
      <c r="AB33" s="84"/>
      <c r="AC33" s="84"/>
      <c r="AD33" s="84"/>
      <c r="AE33" s="84"/>
      <c r="AF33" s="85"/>
      <c r="AG33" s="86"/>
      <c r="AH33" s="86"/>
    </row>
    <row r="34" spans="1:34" s="2" customFormat="1" ht="13.5" thickBot="1">
      <c r="A34" s="46"/>
      <c r="B34" s="47" t="s">
        <v>81</v>
      </c>
      <c r="C34" s="96"/>
      <c r="D34" s="97"/>
      <c r="E34" s="97"/>
      <c r="F34" s="98"/>
      <c r="G34" s="99"/>
      <c r="H34" s="82">
        <f>H32+H18</f>
        <v>0</v>
      </c>
      <c r="I34" s="96"/>
      <c r="J34" s="97"/>
      <c r="K34" s="97"/>
      <c r="L34" s="98"/>
      <c r="M34" s="99"/>
      <c r="N34" s="82">
        <f>N32+N18</f>
        <v>0</v>
      </c>
      <c r="O34" s="96"/>
      <c r="P34" s="97"/>
      <c r="Q34" s="97"/>
      <c r="R34" s="98"/>
      <c r="S34" s="99"/>
      <c r="T34" s="82">
        <f>T32+T18</f>
        <v>0</v>
      </c>
      <c r="U34" s="96"/>
      <c r="V34" s="97"/>
      <c r="W34" s="97"/>
      <c r="X34" s="98"/>
      <c r="Y34" s="99"/>
      <c r="Z34" s="82">
        <f>Z32+Z18</f>
        <v>0</v>
      </c>
      <c r="AA34" s="96"/>
      <c r="AB34" s="97"/>
      <c r="AC34" s="97"/>
      <c r="AD34" s="98"/>
      <c r="AE34" s="99"/>
      <c r="AF34" s="82">
        <f>AF32+AF18</f>
        <v>0</v>
      </c>
      <c r="AG34" s="43">
        <f>AF34+Z34+T34+N34+H34</f>
        <v>0</v>
      </c>
      <c r="AH34" s="43"/>
    </row>
    <row r="35" spans="1:34" s="27" customFormat="1" ht="13.5" thickBot="1">
      <c r="A35" s="83"/>
      <c r="B35" s="84"/>
      <c r="C35" s="84"/>
      <c r="D35" s="84"/>
      <c r="E35" s="84"/>
      <c r="F35" s="84"/>
      <c r="G35" s="84"/>
      <c r="H35" s="85"/>
      <c r="I35" s="83"/>
      <c r="J35" s="84"/>
      <c r="K35" s="84"/>
      <c r="L35" s="84"/>
      <c r="M35" s="84"/>
      <c r="N35" s="85"/>
      <c r="O35" s="83"/>
      <c r="P35" s="84"/>
      <c r="Q35" s="84"/>
      <c r="R35" s="84"/>
      <c r="S35" s="84"/>
      <c r="T35" s="85"/>
      <c r="U35" s="83"/>
      <c r="V35" s="84"/>
      <c r="W35" s="84"/>
      <c r="X35" s="84"/>
      <c r="Y35" s="84"/>
      <c r="Z35" s="85"/>
      <c r="AA35" s="83"/>
      <c r="AB35" s="84"/>
      <c r="AC35" s="84"/>
      <c r="AD35" s="84"/>
      <c r="AE35" s="84"/>
      <c r="AF35" s="85"/>
      <c r="AG35" s="86"/>
      <c r="AH35" s="86"/>
    </row>
    <row r="36" spans="1:34" s="27" customFormat="1" ht="13.5" thickBot="1">
      <c r="A36" s="83" t="s">
        <v>35</v>
      </c>
      <c r="B36" s="84"/>
      <c r="C36" s="84"/>
      <c r="D36" s="84"/>
      <c r="E36" s="84"/>
      <c r="F36" s="84"/>
      <c r="G36" s="84"/>
      <c r="H36" s="85"/>
      <c r="I36" s="83"/>
      <c r="J36" s="84"/>
      <c r="K36" s="84"/>
      <c r="L36" s="84"/>
      <c r="M36" s="84"/>
      <c r="N36" s="85"/>
      <c r="O36" s="83"/>
      <c r="P36" s="84"/>
      <c r="Q36" s="84"/>
      <c r="R36" s="84"/>
      <c r="S36" s="84"/>
      <c r="T36" s="85"/>
      <c r="U36" s="83"/>
      <c r="V36" s="84"/>
      <c r="W36" s="84"/>
      <c r="X36" s="84"/>
      <c r="Y36" s="84"/>
      <c r="Z36" s="85"/>
      <c r="AA36" s="83"/>
      <c r="AB36" s="84"/>
      <c r="AC36" s="84"/>
      <c r="AD36" s="84"/>
      <c r="AE36" s="84"/>
      <c r="AF36" s="85"/>
      <c r="AG36" s="86"/>
      <c r="AH36" s="86"/>
    </row>
    <row r="37" spans="1:34" s="2" customFormat="1" ht="12.75">
      <c r="A37" s="49"/>
      <c r="B37" s="50" t="s">
        <v>38</v>
      </c>
      <c r="C37" s="103"/>
      <c r="D37" s="100"/>
      <c r="E37" s="100"/>
      <c r="F37" s="101"/>
      <c r="G37" s="102"/>
      <c r="H37" s="72"/>
      <c r="I37" s="103"/>
      <c r="J37" s="100"/>
      <c r="K37" s="100"/>
      <c r="L37" s="101"/>
      <c r="M37" s="102"/>
      <c r="N37" s="76"/>
      <c r="O37" s="103"/>
      <c r="P37" s="100"/>
      <c r="Q37" s="100"/>
      <c r="R37" s="101"/>
      <c r="S37" s="102"/>
      <c r="T37" s="76"/>
      <c r="U37" s="103"/>
      <c r="V37" s="100"/>
      <c r="W37" s="100"/>
      <c r="X37" s="101"/>
      <c r="Y37" s="102"/>
      <c r="Z37" s="72"/>
      <c r="AA37" s="103"/>
      <c r="AB37" s="100"/>
      <c r="AC37" s="100"/>
      <c r="AD37" s="101"/>
      <c r="AE37" s="102"/>
      <c r="AF37" s="72"/>
      <c r="AG37" s="43">
        <f aca="true" t="shared" si="48" ref="AG37:AG51">AF37+Z37+T37+N37+H37</f>
        <v>0</v>
      </c>
      <c r="AH37" s="43"/>
    </row>
    <row r="38" spans="1:34" s="2" customFormat="1" ht="12.75">
      <c r="A38" s="49"/>
      <c r="B38" s="50" t="s">
        <v>39</v>
      </c>
      <c r="C38" s="48"/>
      <c r="D38" s="7"/>
      <c r="E38" s="7"/>
      <c r="F38" s="60"/>
      <c r="G38" s="61"/>
      <c r="H38" s="73"/>
      <c r="I38" s="48"/>
      <c r="J38" s="7"/>
      <c r="K38" s="7"/>
      <c r="L38" s="60"/>
      <c r="M38" s="61"/>
      <c r="N38" s="76"/>
      <c r="O38" s="48"/>
      <c r="P38" s="7"/>
      <c r="Q38" s="7"/>
      <c r="R38" s="60"/>
      <c r="S38" s="61"/>
      <c r="T38" s="76"/>
      <c r="U38" s="48"/>
      <c r="V38" s="7"/>
      <c r="W38" s="7"/>
      <c r="X38" s="60"/>
      <c r="Y38" s="61"/>
      <c r="Z38" s="73"/>
      <c r="AA38" s="48"/>
      <c r="AB38" s="7"/>
      <c r="AC38" s="7"/>
      <c r="AD38" s="60"/>
      <c r="AE38" s="61"/>
      <c r="AF38" s="73"/>
      <c r="AG38" s="43">
        <f t="shared" si="48"/>
        <v>0</v>
      </c>
      <c r="AH38" s="43"/>
    </row>
    <row r="39" spans="1:34" s="2" customFormat="1" ht="13.5" thickBot="1">
      <c r="A39" s="48"/>
      <c r="B39" s="47" t="s">
        <v>11</v>
      </c>
      <c r="C39" s="54"/>
      <c r="D39" s="104"/>
      <c r="E39" s="104"/>
      <c r="F39" s="62"/>
      <c r="G39" s="63"/>
      <c r="H39" s="56">
        <f>H38+H37</f>
        <v>0</v>
      </c>
      <c r="I39" s="54"/>
      <c r="J39" s="104"/>
      <c r="K39" s="104"/>
      <c r="L39" s="62"/>
      <c r="M39" s="63"/>
      <c r="N39" s="56">
        <f>N38+N37</f>
        <v>0</v>
      </c>
      <c r="O39" s="54"/>
      <c r="P39" s="104"/>
      <c r="Q39" s="104"/>
      <c r="R39" s="62"/>
      <c r="S39" s="63"/>
      <c r="T39" s="56">
        <f>T38+T37</f>
        <v>0</v>
      </c>
      <c r="U39" s="54"/>
      <c r="V39" s="104"/>
      <c r="W39" s="104"/>
      <c r="X39" s="62"/>
      <c r="Y39" s="63"/>
      <c r="Z39" s="56">
        <f>Z38+Z37</f>
        <v>0</v>
      </c>
      <c r="AA39" s="54"/>
      <c r="AB39" s="104"/>
      <c r="AC39" s="104"/>
      <c r="AD39" s="62"/>
      <c r="AE39" s="63"/>
      <c r="AF39" s="56">
        <f>AF38+AF37</f>
        <v>0</v>
      </c>
      <c r="AG39" s="43">
        <f t="shared" si="48"/>
        <v>0</v>
      </c>
      <c r="AH39" s="43" t="b">
        <f>IF(AG39=SUM(AG37:AG38),TRUE)</f>
        <v>1</v>
      </c>
    </row>
    <row r="40" spans="1:34" s="27" customFormat="1" ht="13.5" thickBot="1">
      <c r="A40" s="83" t="s">
        <v>36</v>
      </c>
      <c r="B40" s="84"/>
      <c r="C40" s="84"/>
      <c r="D40" s="84"/>
      <c r="E40" s="84"/>
      <c r="F40" s="84"/>
      <c r="G40" s="84"/>
      <c r="H40" s="85"/>
      <c r="I40" s="83"/>
      <c r="J40" s="84"/>
      <c r="K40" s="84"/>
      <c r="L40" s="84"/>
      <c r="M40" s="84"/>
      <c r="N40" s="85"/>
      <c r="O40" s="83"/>
      <c r="P40" s="84"/>
      <c r="Q40" s="84"/>
      <c r="R40" s="84"/>
      <c r="S40" s="84"/>
      <c r="T40" s="85"/>
      <c r="U40" s="83"/>
      <c r="V40" s="84"/>
      <c r="W40" s="84"/>
      <c r="X40" s="84"/>
      <c r="Y40" s="84"/>
      <c r="Z40" s="85"/>
      <c r="AA40" s="83"/>
      <c r="AB40" s="84"/>
      <c r="AC40" s="84"/>
      <c r="AD40" s="84"/>
      <c r="AE40" s="84"/>
      <c r="AF40" s="85"/>
      <c r="AG40" s="86">
        <f t="shared" si="48"/>
        <v>0</v>
      </c>
      <c r="AH40" s="86"/>
    </row>
    <row r="41" spans="1:34" s="2" customFormat="1" ht="12.75">
      <c r="A41" s="51"/>
      <c r="B41" s="50" t="s">
        <v>158</v>
      </c>
      <c r="C41" s="103"/>
      <c r="D41" s="100"/>
      <c r="E41" s="100"/>
      <c r="F41" s="101"/>
      <c r="G41" s="102"/>
      <c r="H41" s="76"/>
      <c r="I41" s="103"/>
      <c r="J41" s="100"/>
      <c r="K41" s="100"/>
      <c r="L41" s="101"/>
      <c r="M41" s="102"/>
      <c r="N41" s="264">
        <f>IF(N$4="yes",H41*(1+$G$3),0)</f>
        <v>0</v>
      </c>
      <c r="O41" s="103"/>
      <c r="P41" s="100"/>
      <c r="Q41" s="100"/>
      <c r="R41" s="101"/>
      <c r="S41" s="102"/>
      <c r="T41" s="264">
        <f>IF(T$4="yes",N41*(1+$G$3),0)</f>
        <v>0</v>
      </c>
      <c r="U41" s="103"/>
      <c r="V41" s="100"/>
      <c r="W41" s="100"/>
      <c r="X41" s="101"/>
      <c r="Y41" s="102"/>
      <c r="Z41" s="264">
        <f>IF(Z$4="yes",T41*(1+$G$3),0)</f>
        <v>0</v>
      </c>
      <c r="AA41" s="103"/>
      <c r="AB41" s="100"/>
      <c r="AC41" s="100"/>
      <c r="AD41" s="101"/>
      <c r="AE41" s="102"/>
      <c r="AF41" s="264">
        <f>IF(AF$4="yes",Z41*(1+$G$3),0)</f>
        <v>0</v>
      </c>
      <c r="AG41" s="43">
        <f t="shared" si="48"/>
        <v>0</v>
      </c>
      <c r="AH41" s="43"/>
    </row>
    <row r="42" spans="1:34" s="2" customFormat="1" ht="12.75">
      <c r="A42" s="51"/>
      <c r="B42" s="50" t="s">
        <v>40</v>
      </c>
      <c r="C42" s="48"/>
      <c r="D42" s="7"/>
      <c r="E42" s="7"/>
      <c r="F42" s="60"/>
      <c r="G42" s="61"/>
      <c r="H42" s="76"/>
      <c r="I42" s="48"/>
      <c r="J42" s="7"/>
      <c r="K42" s="7"/>
      <c r="L42" s="60"/>
      <c r="M42" s="61"/>
      <c r="N42" s="264">
        <f>IF(N$4="yes",H42*(1+$G$3),0)</f>
        <v>0</v>
      </c>
      <c r="O42" s="48"/>
      <c r="P42" s="7"/>
      <c r="Q42" s="7"/>
      <c r="R42" s="60"/>
      <c r="S42" s="61"/>
      <c r="T42" s="264">
        <f>IF(T$4="yes",N42*(1+$G$3),0)</f>
        <v>0</v>
      </c>
      <c r="U42" s="48"/>
      <c r="V42" s="7"/>
      <c r="W42" s="7"/>
      <c r="X42" s="60"/>
      <c r="Y42" s="61"/>
      <c r="Z42" s="264">
        <f>IF(Z$4="yes",T42*(1+$G$3),0)</f>
        <v>0</v>
      </c>
      <c r="AA42" s="48"/>
      <c r="AB42" s="7"/>
      <c r="AC42" s="7"/>
      <c r="AD42" s="60"/>
      <c r="AE42" s="61"/>
      <c r="AF42" s="264">
        <f>IF(AF$4="yes",Z42*(1+$G$3),0)</f>
        <v>0</v>
      </c>
      <c r="AG42" s="43">
        <f t="shared" si="48"/>
        <v>0</v>
      </c>
      <c r="AH42" s="43"/>
    </row>
    <row r="43" spans="1:34" s="2" customFormat="1" ht="12.75">
      <c r="A43" s="51"/>
      <c r="B43" s="50" t="s">
        <v>41</v>
      </c>
      <c r="C43" s="48"/>
      <c r="D43" s="7"/>
      <c r="E43" s="7"/>
      <c r="F43" s="60"/>
      <c r="G43" s="61"/>
      <c r="H43" s="76"/>
      <c r="I43" s="48"/>
      <c r="J43" s="7"/>
      <c r="K43" s="7"/>
      <c r="L43" s="60"/>
      <c r="M43" s="61"/>
      <c r="N43" s="264">
        <f>IF(N$4="yes",H43*(1+$G$3),0)</f>
        <v>0</v>
      </c>
      <c r="O43" s="48"/>
      <c r="P43" s="7"/>
      <c r="Q43" s="7"/>
      <c r="R43" s="60"/>
      <c r="S43" s="61"/>
      <c r="T43" s="264">
        <f>IF(T$4="yes",N43*(1+$G$3),0)</f>
        <v>0</v>
      </c>
      <c r="U43" s="48"/>
      <c r="V43" s="7"/>
      <c r="W43" s="7"/>
      <c r="X43" s="60"/>
      <c r="Y43" s="61"/>
      <c r="Z43" s="264">
        <f>IF(Z$4="yes",T43*(1+$G$3),0)</f>
        <v>0</v>
      </c>
      <c r="AA43" s="48"/>
      <c r="AB43" s="7"/>
      <c r="AC43" s="7"/>
      <c r="AD43" s="60"/>
      <c r="AE43" s="61"/>
      <c r="AF43" s="264">
        <f>IF(AF$4="yes",Z43*(1+$G$3),0)</f>
        <v>0</v>
      </c>
      <c r="AG43" s="43">
        <f t="shared" si="48"/>
        <v>0</v>
      </c>
      <c r="AH43" s="43"/>
    </row>
    <row r="44" spans="1:34" s="2" customFormat="1" ht="13.5" thickBot="1">
      <c r="A44" s="48"/>
      <c r="B44" s="47" t="s">
        <v>31</v>
      </c>
      <c r="C44" s="54"/>
      <c r="D44" s="104"/>
      <c r="E44" s="104"/>
      <c r="F44" s="62"/>
      <c r="G44" s="63"/>
      <c r="H44" s="58">
        <f>SUM(H41:H43)</f>
        <v>0</v>
      </c>
      <c r="I44" s="54"/>
      <c r="J44" s="104"/>
      <c r="K44" s="104"/>
      <c r="L44" s="62"/>
      <c r="M44" s="63"/>
      <c r="N44" s="58">
        <f>SUM(N41:N43)</f>
        <v>0</v>
      </c>
      <c r="O44" s="54"/>
      <c r="P44" s="104"/>
      <c r="Q44" s="104"/>
      <c r="R44" s="62"/>
      <c r="S44" s="63"/>
      <c r="T44" s="58">
        <f>SUM(T41:T43)</f>
        <v>0</v>
      </c>
      <c r="U44" s="54"/>
      <c r="V44" s="104"/>
      <c r="W44" s="104"/>
      <c r="X44" s="62"/>
      <c r="Y44" s="63"/>
      <c r="Z44" s="58">
        <f>SUM(Z41:Z43)</f>
        <v>0</v>
      </c>
      <c r="AA44" s="54"/>
      <c r="AB44" s="104"/>
      <c r="AC44" s="104"/>
      <c r="AD44" s="62"/>
      <c r="AE44" s="63"/>
      <c r="AF44" s="58">
        <f>SUM(AF41:AF43)</f>
        <v>0</v>
      </c>
      <c r="AG44" s="43">
        <f t="shared" si="48"/>
        <v>0</v>
      </c>
      <c r="AH44" s="43" t="b">
        <f>IF(AG44=SUM(AG41:AG43),TRUE)</f>
        <v>1</v>
      </c>
    </row>
    <row r="45" spans="1:34" s="27" customFormat="1" ht="13.5" thickBot="1">
      <c r="A45" s="83" t="s">
        <v>37</v>
      </c>
      <c r="B45" s="84"/>
      <c r="C45" s="84"/>
      <c r="D45" s="84"/>
      <c r="E45" s="84"/>
      <c r="F45" s="84"/>
      <c r="G45" s="84"/>
      <c r="H45" s="85"/>
      <c r="I45" s="83"/>
      <c r="J45" s="84"/>
      <c r="K45" s="84"/>
      <c r="L45" s="84"/>
      <c r="M45" s="84"/>
      <c r="N45" s="85"/>
      <c r="O45" s="83"/>
      <c r="P45" s="84"/>
      <c r="Q45" s="84"/>
      <c r="R45" s="84"/>
      <c r="S45" s="84"/>
      <c r="T45" s="85"/>
      <c r="U45" s="83"/>
      <c r="V45" s="84"/>
      <c r="W45" s="84"/>
      <c r="X45" s="84"/>
      <c r="Y45" s="84"/>
      <c r="Z45" s="85"/>
      <c r="AA45" s="83"/>
      <c r="AB45" s="84"/>
      <c r="AC45" s="84"/>
      <c r="AD45" s="84"/>
      <c r="AE45" s="84"/>
      <c r="AF45" s="85"/>
      <c r="AG45" s="86">
        <f t="shared" si="48"/>
        <v>0</v>
      </c>
      <c r="AH45" s="86"/>
    </row>
    <row r="46" spans="1:34" s="2" customFormat="1" ht="12.75">
      <c r="A46" s="51"/>
      <c r="B46" s="50" t="s">
        <v>43</v>
      </c>
      <c r="C46" s="103"/>
      <c r="D46" s="100"/>
      <c r="E46" s="100"/>
      <c r="F46" s="101"/>
      <c r="G46" s="102"/>
      <c r="H46" s="74"/>
      <c r="I46" s="103"/>
      <c r="J46" s="100"/>
      <c r="K46" s="100"/>
      <c r="L46" s="101"/>
      <c r="M46" s="102"/>
      <c r="N46" s="264">
        <f>IF(N$4="yes",H46*(1+$G$3),0)</f>
        <v>0</v>
      </c>
      <c r="O46" s="103"/>
      <c r="P46" s="100"/>
      <c r="Q46" s="100"/>
      <c r="R46" s="101"/>
      <c r="S46" s="102"/>
      <c r="T46" s="264">
        <f>IF(T$4="yes",N46*(1+$G$3),0)</f>
        <v>0</v>
      </c>
      <c r="U46" s="103"/>
      <c r="V46" s="100"/>
      <c r="W46" s="100"/>
      <c r="X46" s="101"/>
      <c r="Y46" s="102"/>
      <c r="Z46" s="264">
        <f>IF(Z$4="yes",T46*(1+$G$3),0)</f>
        <v>0</v>
      </c>
      <c r="AA46" s="103"/>
      <c r="AB46" s="100"/>
      <c r="AC46" s="100"/>
      <c r="AD46" s="101"/>
      <c r="AE46" s="102"/>
      <c r="AF46" s="264">
        <f>IF(AF$4="yes",Z46*(1+$G$3),0)</f>
        <v>0</v>
      </c>
      <c r="AG46" s="43">
        <f t="shared" si="48"/>
        <v>0</v>
      </c>
      <c r="AH46" s="43"/>
    </row>
    <row r="47" spans="1:34" s="2" customFormat="1" ht="12.75">
      <c r="A47" s="52"/>
      <c r="B47" s="50" t="s">
        <v>42</v>
      </c>
      <c r="C47" s="48"/>
      <c r="D47" s="7"/>
      <c r="E47" s="7"/>
      <c r="F47" s="60"/>
      <c r="G47" s="61"/>
      <c r="H47" s="75"/>
      <c r="I47" s="48"/>
      <c r="J47" s="7"/>
      <c r="K47" s="7"/>
      <c r="L47" s="60"/>
      <c r="M47" s="61"/>
      <c r="N47" s="264">
        <f>IF(N$4="yes",H47*(1+$G$3),0)</f>
        <v>0</v>
      </c>
      <c r="O47" s="48"/>
      <c r="P47" s="7"/>
      <c r="Q47" s="7"/>
      <c r="R47" s="60"/>
      <c r="S47" s="61"/>
      <c r="T47" s="264">
        <f>IF(T$4="yes",N47*(1+$G$3),0)</f>
        <v>0</v>
      </c>
      <c r="U47" s="48"/>
      <c r="V47" s="7"/>
      <c r="W47" s="7"/>
      <c r="X47" s="60"/>
      <c r="Y47" s="61"/>
      <c r="Z47" s="264">
        <f>IF(Z$4="yes",T47*(1+$G$3),0)</f>
        <v>0</v>
      </c>
      <c r="AA47" s="48"/>
      <c r="AB47" s="7"/>
      <c r="AC47" s="7"/>
      <c r="AD47" s="60"/>
      <c r="AE47" s="61"/>
      <c r="AF47" s="264">
        <f>IF(AF$4="yes",Z47*(1+$G$3),0)</f>
        <v>0</v>
      </c>
      <c r="AG47" s="43">
        <f t="shared" si="48"/>
        <v>0</v>
      </c>
      <c r="AH47" s="43"/>
    </row>
    <row r="48" spans="1:34" s="2" customFormat="1" ht="13.5" thickBot="1">
      <c r="A48" s="46"/>
      <c r="B48" s="47" t="s">
        <v>44</v>
      </c>
      <c r="C48" s="54"/>
      <c r="D48" s="104"/>
      <c r="E48" s="104"/>
      <c r="F48" s="62"/>
      <c r="G48" s="63"/>
      <c r="H48" s="58">
        <f>H47+H46</f>
        <v>0</v>
      </c>
      <c r="I48" s="54"/>
      <c r="J48" s="104"/>
      <c r="K48" s="104"/>
      <c r="L48" s="62"/>
      <c r="M48" s="63"/>
      <c r="N48" s="58">
        <f>N47+N46</f>
        <v>0</v>
      </c>
      <c r="O48" s="54"/>
      <c r="P48" s="104"/>
      <c r="Q48" s="104"/>
      <c r="R48" s="62"/>
      <c r="S48" s="63"/>
      <c r="T48" s="58">
        <f>T47+T46</f>
        <v>0</v>
      </c>
      <c r="U48" s="54"/>
      <c r="V48" s="104"/>
      <c r="W48" s="104"/>
      <c r="X48" s="62"/>
      <c r="Y48" s="63"/>
      <c r="Z48" s="58">
        <f>Z47+Z46</f>
        <v>0</v>
      </c>
      <c r="AA48" s="54"/>
      <c r="AB48" s="104"/>
      <c r="AC48" s="104"/>
      <c r="AD48" s="62"/>
      <c r="AE48" s="63"/>
      <c r="AF48" s="58">
        <f>AF47+AF46</f>
        <v>0</v>
      </c>
      <c r="AG48" s="43">
        <f t="shared" si="48"/>
        <v>0</v>
      </c>
      <c r="AH48" s="43" t="b">
        <f>IF(AG48=SUM(AG46:AG47),TRUE)</f>
        <v>1</v>
      </c>
    </row>
    <row r="49" spans="1:34" s="27" customFormat="1" ht="13.5" thickBot="1">
      <c r="A49" s="83" t="s">
        <v>45</v>
      </c>
      <c r="B49" s="84"/>
      <c r="C49" s="84"/>
      <c r="D49" s="84"/>
      <c r="E49" s="84"/>
      <c r="F49" s="84"/>
      <c r="G49" s="84"/>
      <c r="H49" s="85"/>
      <c r="I49" s="83"/>
      <c r="J49" s="84"/>
      <c r="K49" s="84"/>
      <c r="L49" s="84"/>
      <c r="M49" s="84"/>
      <c r="N49" s="85"/>
      <c r="O49" s="83"/>
      <c r="P49" s="84"/>
      <c r="Q49" s="84"/>
      <c r="R49" s="84"/>
      <c r="S49" s="84"/>
      <c r="T49" s="85"/>
      <c r="U49" s="83"/>
      <c r="V49" s="84"/>
      <c r="W49" s="84"/>
      <c r="X49" s="84"/>
      <c r="Y49" s="84"/>
      <c r="Z49" s="85"/>
      <c r="AA49" s="83"/>
      <c r="AB49" s="84"/>
      <c r="AC49" s="84"/>
      <c r="AD49" s="84"/>
      <c r="AE49" s="84"/>
      <c r="AF49" s="85"/>
      <c r="AG49" s="86">
        <f t="shared" si="48"/>
        <v>0</v>
      </c>
      <c r="AH49" s="86"/>
    </row>
    <row r="50" spans="1:34" s="2" customFormat="1" ht="12.75">
      <c r="A50" s="48"/>
      <c r="B50" s="53" t="s">
        <v>46</v>
      </c>
      <c r="C50" s="103"/>
      <c r="D50" s="100"/>
      <c r="E50" s="100"/>
      <c r="F50" s="101"/>
      <c r="G50" s="102"/>
      <c r="H50" s="76"/>
      <c r="I50" s="103"/>
      <c r="J50" s="100"/>
      <c r="K50" s="100"/>
      <c r="L50" s="101"/>
      <c r="M50" s="102"/>
      <c r="N50" s="264">
        <f aca="true" t="shared" si="49" ref="N50:N59">IF(N$4="yes",H50*(1+$G$3),0)</f>
        <v>0</v>
      </c>
      <c r="O50" s="103"/>
      <c r="P50" s="100"/>
      <c r="Q50" s="100"/>
      <c r="R50" s="101"/>
      <c r="S50" s="102"/>
      <c r="T50" s="264">
        <f aca="true" t="shared" si="50" ref="T50:T59">IF(T$4="yes",N50*(1+$G$3),0)</f>
        <v>0</v>
      </c>
      <c r="U50" s="103"/>
      <c r="V50" s="100"/>
      <c r="W50" s="100"/>
      <c r="X50" s="101"/>
      <c r="Y50" s="102"/>
      <c r="Z50" s="264">
        <f aca="true" t="shared" si="51" ref="Z50:Z59">IF(Z$4="yes",T50*(1+$G$3),0)</f>
        <v>0</v>
      </c>
      <c r="AA50" s="103"/>
      <c r="AB50" s="100"/>
      <c r="AC50" s="100"/>
      <c r="AD50" s="101"/>
      <c r="AE50" s="102"/>
      <c r="AF50" s="264">
        <f aca="true" t="shared" si="52" ref="AF50:AF59">IF(AF$4="yes",Z50*(1+$G$3),0)</f>
        <v>0</v>
      </c>
      <c r="AG50" s="43">
        <f t="shared" si="48"/>
        <v>0</v>
      </c>
      <c r="AH50" s="43"/>
    </row>
    <row r="51" spans="1:34" s="2" customFormat="1" ht="12.75">
      <c r="A51" s="48"/>
      <c r="B51" s="53" t="s">
        <v>47</v>
      </c>
      <c r="C51" s="48"/>
      <c r="D51" s="7"/>
      <c r="E51" s="7"/>
      <c r="F51" s="60"/>
      <c r="G51" s="61"/>
      <c r="H51" s="76"/>
      <c r="I51" s="48"/>
      <c r="J51" s="7"/>
      <c r="K51" s="7"/>
      <c r="L51" s="60"/>
      <c r="M51" s="61"/>
      <c r="N51" s="264">
        <f t="shared" si="49"/>
        <v>0</v>
      </c>
      <c r="O51" s="48"/>
      <c r="P51" s="7"/>
      <c r="Q51" s="7"/>
      <c r="R51" s="60"/>
      <c r="S51" s="61"/>
      <c r="T51" s="264">
        <f t="shared" si="50"/>
        <v>0</v>
      </c>
      <c r="U51" s="48"/>
      <c r="V51" s="7"/>
      <c r="W51" s="7"/>
      <c r="X51" s="60"/>
      <c r="Y51" s="61"/>
      <c r="Z51" s="264">
        <f t="shared" si="51"/>
        <v>0</v>
      </c>
      <c r="AA51" s="48"/>
      <c r="AB51" s="7"/>
      <c r="AC51" s="7"/>
      <c r="AD51" s="60"/>
      <c r="AE51" s="61"/>
      <c r="AF51" s="264">
        <f t="shared" si="52"/>
        <v>0</v>
      </c>
      <c r="AG51" s="43">
        <f t="shared" si="48"/>
        <v>0</v>
      </c>
      <c r="AH51" s="43"/>
    </row>
    <row r="52" spans="1:34" s="2" customFormat="1" ht="12.75">
      <c r="A52" s="48"/>
      <c r="B52" s="53" t="s">
        <v>154</v>
      </c>
      <c r="C52" s="48"/>
      <c r="D52" s="7"/>
      <c r="E52" s="7"/>
      <c r="F52" s="60"/>
      <c r="G52" s="61"/>
      <c r="H52" s="76"/>
      <c r="I52" s="48"/>
      <c r="J52" s="7"/>
      <c r="K52" s="7"/>
      <c r="L52" s="60"/>
      <c r="M52" s="61"/>
      <c r="N52" s="264">
        <f t="shared" si="49"/>
        <v>0</v>
      </c>
      <c r="O52" s="48"/>
      <c r="P52" s="7"/>
      <c r="Q52" s="7"/>
      <c r="R52" s="60"/>
      <c r="S52" s="61"/>
      <c r="T52" s="264">
        <f t="shared" si="50"/>
        <v>0</v>
      </c>
      <c r="U52" s="48"/>
      <c r="V52" s="7"/>
      <c r="W52" s="7"/>
      <c r="X52" s="60"/>
      <c r="Y52" s="61"/>
      <c r="Z52" s="264">
        <f t="shared" si="51"/>
        <v>0</v>
      </c>
      <c r="AA52" s="48"/>
      <c r="AB52" s="7"/>
      <c r="AC52" s="7"/>
      <c r="AD52" s="60"/>
      <c r="AE52" s="61"/>
      <c r="AF52" s="264">
        <f t="shared" si="52"/>
        <v>0</v>
      </c>
      <c r="AG52" s="43"/>
      <c r="AH52" s="43"/>
    </row>
    <row r="53" spans="1:34" s="2" customFormat="1" ht="12.75">
      <c r="A53" s="48"/>
      <c r="B53" s="53" t="s">
        <v>48</v>
      </c>
      <c r="C53" s="48"/>
      <c r="D53" s="7"/>
      <c r="E53" s="7"/>
      <c r="F53" s="60"/>
      <c r="G53" s="61"/>
      <c r="H53" s="76"/>
      <c r="I53" s="48"/>
      <c r="J53" s="7"/>
      <c r="K53" s="7"/>
      <c r="L53" s="60"/>
      <c r="M53" s="61"/>
      <c r="N53" s="264">
        <f t="shared" si="49"/>
        <v>0</v>
      </c>
      <c r="O53" s="48"/>
      <c r="P53" s="7"/>
      <c r="Q53" s="7"/>
      <c r="R53" s="60"/>
      <c r="S53" s="61"/>
      <c r="T53" s="264">
        <f t="shared" si="50"/>
        <v>0</v>
      </c>
      <c r="U53" s="48"/>
      <c r="V53" s="7"/>
      <c r="W53" s="7"/>
      <c r="X53" s="60"/>
      <c r="Y53" s="61"/>
      <c r="Z53" s="264">
        <f t="shared" si="51"/>
        <v>0</v>
      </c>
      <c r="AA53" s="48"/>
      <c r="AB53" s="7"/>
      <c r="AC53" s="7"/>
      <c r="AD53" s="60"/>
      <c r="AE53" s="61"/>
      <c r="AF53" s="264">
        <f t="shared" si="52"/>
        <v>0</v>
      </c>
      <c r="AG53" s="43"/>
      <c r="AH53" s="43"/>
    </row>
    <row r="54" spans="1:34" s="2" customFormat="1" ht="12.75">
      <c r="A54" s="48"/>
      <c r="B54" s="53" t="s">
        <v>49</v>
      </c>
      <c r="C54" s="48"/>
      <c r="D54" s="7"/>
      <c r="E54" s="7"/>
      <c r="F54" s="60"/>
      <c r="G54" s="61"/>
      <c r="H54" s="76"/>
      <c r="I54" s="48"/>
      <c r="J54" s="7"/>
      <c r="K54" s="7"/>
      <c r="L54" s="60"/>
      <c r="M54" s="61"/>
      <c r="N54" s="264">
        <f t="shared" si="49"/>
        <v>0</v>
      </c>
      <c r="O54" s="48"/>
      <c r="P54" s="7"/>
      <c r="Q54" s="7"/>
      <c r="R54" s="60"/>
      <c r="S54" s="61"/>
      <c r="T54" s="264">
        <f t="shared" si="50"/>
        <v>0</v>
      </c>
      <c r="U54" s="48"/>
      <c r="V54" s="7"/>
      <c r="W54" s="7"/>
      <c r="X54" s="60"/>
      <c r="Y54" s="61"/>
      <c r="Z54" s="264">
        <f t="shared" si="51"/>
        <v>0</v>
      </c>
      <c r="AA54" s="48"/>
      <c r="AB54" s="7"/>
      <c r="AC54" s="7"/>
      <c r="AD54" s="60"/>
      <c r="AE54" s="61"/>
      <c r="AF54" s="264">
        <f t="shared" si="52"/>
        <v>0</v>
      </c>
      <c r="AG54" s="43"/>
      <c r="AH54" s="43"/>
    </row>
    <row r="55" spans="1:34" s="2" customFormat="1" ht="12.75">
      <c r="A55" s="48"/>
      <c r="B55" s="53" t="s">
        <v>50</v>
      </c>
      <c r="C55" s="48"/>
      <c r="D55" s="7"/>
      <c r="E55" s="7"/>
      <c r="F55" s="60"/>
      <c r="G55" s="61"/>
      <c r="H55" s="76"/>
      <c r="I55" s="48"/>
      <c r="J55" s="7"/>
      <c r="K55" s="7"/>
      <c r="L55" s="60"/>
      <c r="M55" s="61"/>
      <c r="N55" s="264">
        <f t="shared" si="49"/>
        <v>0</v>
      </c>
      <c r="O55" s="48"/>
      <c r="P55" s="7"/>
      <c r="Q55" s="7"/>
      <c r="R55" s="60"/>
      <c r="S55" s="61"/>
      <c r="T55" s="264">
        <f t="shared" si="50"/>
        <v>0</v>
      </c>
      <c r="U55" s="48"/>
      <c r="V55" s="7"/>
      <c r="W55" s="7"/>
      <c r="X55" s="60"/>
      <c r="Y55" s="61"/>
      <c r="Z55" s="264">
        <f t="shared" si="51"/>
        <v>0</v>
      </c>
      <c r="AA55" s="48"/>
      <c r="AB55" s="7"/>
      <c r="AC55" s="7"/>
      <c r="AD55" s="60"/>
      <c r="AE55" s="61"/>
      <c r="AF55" s="264">
        <f t="shared" si="52"/>
        <v>0</v>
      </c>
      <c r="AG55" s="43">
        <f aca="true" t="shared" si="53" ref="AG55:AG69">AF55+Z55+T55+N55+H55</f>
        <v>0</v>
      </c>
      <c r="AH55" s="43"/>
    </row>
    <row r="56" spans="1:34" s="2" customFormat="1" ht="12.75">
      <c r="A56" s="48"/>
      <c r="B56" s="53" t="s">
        <v>55</v>
      </c>
      <c r="C56" s="105"/>
      <c r="D56" s="106"/>
      <c r="E56" s="106"/>
      <c r="F56" s="107"/>
      <c r="G56" s="108"/>
      <c r="H56" s="76"/>
      <c r="I56" s="105"/>
      <c r="J56" s="106"/>
      <c r="K56" s="106"/>
      <c r="L56" s="107"/>
      <c r="M56" s="108"/>
      <c r="N56" s="264">
        <f t="shared" si="49"/>
        <v>0</v>
      </c>
      <c r="O56" s="105"/>
      <c r="P56" s="106"/>
      <c r="Q56" s="106"/>
      <c r="R56" s="107"/>
      <c r="S56" s="108"/>
      <c r="T56" s="264">
        <f>IF(T$4="yes",N56*(1+$G$3),0)</f>
        <v>0</v>
      </c>
      <c r="U56" s="105"/>
      <c r="V56" s="106"/>
      <c r="W56" s="106"/>
      <c r="X56" s="107"/>
      <c r="Y56" s="108"/>
      <c r="Z56" s="264">
        <f>IF(Z$4="yes",T56*(1+$G$3),0)</f>
        <v>0</v>
      </c>
      <c r="AA56" s="105"/>
      <c r="AB56" s="106"/>
      <c r="AC56" s="106"/>
      <c r="AD56" s="107"/>
      <c r="AE56" s="108"/>
      <c r="AF56" s="264">
        <f>IF(AF$4="yes",Z56*(1+$G$3),0)</f>
        <v>0</v>
      </c>
      <c r="AG56" s="43">
        <f>AF56+Z56+T56+N56+H56</f>
        <v>0</v>
      </c>
      <c r="AH56" s="43"/>
    </row>
    <row r="57" spans="1:34" s="2" customFormat="1" ht="12.75">
      <c r="A57" s="48"/>
      <c r="B57" s="53" t="s">
        <v>159</v>
      </c>
      <c r="C57" s="105"/>
      <c r="D57" s="106"/>
      <c r="E57" s="106"/>
      <c r="F57" s="107"/>
      <c r="G57" s="108"/>
      <c r="H57" s="76"/>
      <c r="I57" s="105"/>
      <c r="J57" s="106"/>
      <c r="K57" s="106"/>
      <c r="L57" s="107"/>
      <c r="M57" s="108"/>
      <c r="N57" s="264">
        <f t="shared" si="49"/>
        <v>0</v>
      </c>
      <c r="O57" s="105"/>
      <c r="P57" s="106"/>
      <c r="Q57" s="106"/>
      <c r="R57" s="107"/>
      <c r="S57" s="108"/>
      <c r="T57" s="264">
        <f>IF(T$4="yes",N57*(1+$G$3),0)</f>
        <v>0</v>
      </c>
      <c r="U57" s="105"/>
      <c r="V57" s="106"/>
      <c r="W57" s="106"/>
      <c r="X57" s="107"/>
      <c r="Y57" s="108"/>
      <c r="Z57" s="264">
        <f>IF(Z$4="yes",T57*(1+$G$3),0)</f>
        <v>0</v>
      </c>
      <c r="AA57" s="105"/>
      <c r="AB57" s="106"/>
      <c r="AC57" s="106"/>
      <c r="AD57" s="107"/>
      <c r="AE57" s="108"/>
      <c r="AF57" s="264">
        <f>IF(AF$4="yes",Z57*(1+$G$3),0)</f>
        <v>0</v>
      </c>
      <c r="AG57" s="43">
        <f>AF57+Z57+T57+N57+H57</f>
        <v>0</v>
      </c>
      <c r="AH57" s="43"/>
    </row>
    <row r="58" spans="1:34" s="2" customFormat="1" ht="12.75">
      <c r="A58" s="48"/>
      <c r="B58" s="53" t="s">
        <v>159</v>
      </c>
      <c r="C58" s="105"/>
      <c r="D58" s="106"/>
      <c r="E58" s="106"/>
      <c r="F58" s="107"/>
      <c r="G58" s="108"/>
      <c r="H58" s="76"/>
      <c r="I58" s="105"/>
      <c r="J58" s="106"/>
      <c r="K58" s="106"/>
      <c r="L58" s="107"/>
      <c r="M58" s="108"/>
      <c r="N58" s="264">
        <f t="shared" si="49"/>
        <v>0</v>
      </c>
      <c r="O58" s="105"/>
      <c r="P58" s="106"/>
      <c r="Q58" s="106"/>
      <c r="R58" s="107"/>
      <c r="S58" s="108"/>
      <c r="T58" s="264">
        <f>IF(T$4="yes",N58*(1+$G$3),0)</f>
        <v>0</v>
      </c>
      <c r="U58" s="105"/>
      <c r="V58" s="106"/>
      <c r="W58" s="106"/>
      <c r="X58" s="107"/>
      <c r="Y58" s="108"/>
      <c r="Z58" s="264">
        <f>IF(Z$4="yes",T58*(1+$G$3),0)</f>
        <v>0</v>
      </c>
      <c r="AA58" s="105"/>
      <c r="AB58" s="106"/>
      <c r="AC58" s="106"/>
      <c r="AD58" s="107"/>
      <c r="AE58" s="108"/>
      <c r="AF58" s="264">
        <f>IF(AF$4="yes",Z58*(1+$G$3),0)</f>
        <v>0</v>
      </c>
      <c r="AG58" s="43">
        <f>AF58+Z58+T58+N58+H58</f>
        <v>0</v>
      </c>
      <c r="AH58" s="43"/>
    </row>
    <row r="59" spans="1:34" s="2" customFormat="1" ht="12.75">
      <c r="A59" s="48"/>
      <c r="B59" s="53" t="s">
        <v>159</v>
      </c>
      <c r="C59" s="105"/>
      <c r="D59" s="106"/>
      <c r="E59" s="106"/>
      <c r="F59" s="107"/>
      <c r="G59" s="108"/>
      <c r="H59" s="76"/>
      <c r="I59" s="105"/>
      <c r="J59" s="106"/>
      <c r="K59" s="106"/>
      <c r="L59" s="107"/>
      <c r="M59" s="108"/>
      <c r="N59" s="264">
        <f t="shared" si="49"/>
        <v>0</v>
      </c>
      <c r="O59" s="105"/>
      <c r="P59" s="106"/>
      <c r="Q59" s="106"/>
      <c r="R59" s="107"/>
      <c r="S59" s="108"/>
      <c r="T59" s="264">
        <f t="shared" si="50"/>
        <v>0</v>
      </c>
      <c r="U59" s="105"/>
      <c r="V59" s="106"/>
      <c r="W59" s="106"/>
      <c r="X59" s="107"/>
      <c r="Y59" s="108"/>
      <c r="Z59" s="264">
        <f t="shared" si="51"/>
        <v>0</v>
      </c>
      <c r="AA59" s="105"/>
      <c r="AB59" s="106"/>
      <c r="AC59" s="106"/>
      <c r="AD59" s="107"/>
      <c r="AE59" s="108"/>
      <c r="AF59" s="264">
        <f t="shared" si="52"/>
        <v>0</v>
      </c>
      <c r="AG59" s="43">
        <f t="shared" si="53"/>
        <v>0</v>
      </c>
      <c r="AH59" s="43"/>
    </row>
    <row r="60" spans="1:34" s="2" customFormat="1" ht="13.5" thickBot="1">
      <c r="A60" s="48"/>
      <c r="B60" s="47" t="s">
        <v>13</v>
      </c>
      <c r="C60" s="54"/>
      <c r="D60" s="104"/>
      <c r="E60" s="104"/>
      <c r="F60" s="62"/>
      <c r="G60" s="63"/>
      <c r="H60" s="58">
        <f>SUM(H50:H59)</f>
        <v>0</v>
      </c>
      <c r="I60" s="54"/>
      <c r="J60" s="104"/>
      <c r="K60" s="104"/>
      <c r="L60" s="62"/>
      <c r="M60" s="63"/>
      <c r="N60" s="58">
        <f>SUM(N50:N59)</f>
        <v>0</v>
      </c>
      <c r="O60" s="54"/>
      <c r="P60" s="104"/>
      <c r="Q60" s="104"/>
      <c r="R60" s="62"/>
      <c r="S60" s="63"/>
      <c r="T60" s="58">
        <f>SUM(T50:T59)</f>
        <v>0</v>
      </c>
      <c r="U60" s="54"/>
      <c r="V60" s="104"/>
      <c r="W60" s="104"/>
      <c r="X60" s="62"/>
      <c r="Y60" s="63"/>
      <c r="Z60" s="58">
        <f>SUM(Z50:Z59)</f>
        <v>0</v>
      </c>
      <c r="AA60" s="54"/>
      <c r="AB60" s="104"/>
      <c r="AC60" s="104"/>
      <c r="AD60" s="62"/>
      <c r="AE60" s="63"/>
      <c r="AF60" s="58">
        <f>SUM(AF50:AF59)</f>
        <v>0</v>
      </c>
      <c r="AG60" s="43">
        <f t="shared" si="53"/>
        <v>0</v>
      </c>
      <c r="AH60" s="43" t="b">
        <f>IF(AG60=SUM(AG50:AG59),TRUE)</f>
        <v>1</v>
      </c>
    </row>
    <row r="61" spans="1:34" s="27" customFormat="1" ht="13.5" thickBot="1">
      <c r="A61" s="83" t="s">
        <v>51</v>
      </c>
      <c r="B61" s="84"/>
      <c r="C61" s="84"/>
      <c r="D61" s="84"/>
      <c r="E61" s="84"/>
      <c r="F61" s="84"/>
      <c r="G61" s="84"/>
      <c r="H61" s="85"/>
      <c r="I61" s="83"/>
      <c r="J61" s="84"/>
      <c r="K61" s="84"/>
      <c r="L61" s="84"/>
      <c r="M61" s="84"/>
      <c r="N61" s="85"/>
      <c r="O61" s="83"/>
      <c r="P61" s="84"/>
      <c r="Q61" s="84"/>
      <c r="R61" s="84"/>
      <c r="S61" s="84"/>
      <c r="T61" s="85"/>
      <c r="U61" s="83"/>
      <c r="V61" s="84"/>
      <c r="W61" s="84"/>
      <c r="X61" s="84"/>
      <c r="Y61" s="84"/>
      <c r="Z61" s="85"/>
      <c r="AA61" s="83"/>
      <c r="AB61" s="84"/>
      <c r="AC61" s="84"/>
      <c r="AD61" s="84"/>
      <c r="AE61" s="84"/>
      <c r="AF61" s="85"/>
      <c r="AG61" s="86">
        <f t="shared" si="53"/>
        <v>0</v>
      </c>
      <c r="AH61" s="86"/>
    </row>
    <row r="62" spans="1:34" s="2" customFormat="1" ht="12.75">
      <c r="A62" s="46"/>
      <c r="B62" s="7" t="s">
        <v>25</v>
      </c>
      <c r="C62" s="48"/>
      <c r="D62" s="7"/>
      <c r="E62" s="7"/>
      <c r="F62" s="60"/>
      <c r="G62" s="61"/>
      <c r="H62" s="76"/>
      <c r="I62" s="48"/>
      <c r="J62" s="7"/>
      <c r="K62" s="7"/>
      <c r="L62" s="60"/>
      <c r="M62" s="61"/>
      <c r="N62" s="77">
        <f>IF(N$4="yes",H62*(1+$G$3),0)</f>
        <v>0</v>
      </c>
      <c r="O62" s="48"/>
      <c r="P62" s="7"/>
      <c r="Q62" s="7"/>
      <c r="R62" s="60"/>
      <c r="S62" s="61"/>
      <c r="T62" s="77">
        <f>IF(T4="yes",N62*(1+$G$3),0)</f>
        <v>0</v>
      </c>
      <c r="U62" s="48"/>
      <c r="V62" s="7"/>
      <c r="W62" s="7"/>
      <c r="X62" s="60"/>
      <c r="Y62" s="61"/>
      <c r="Z62" s="77">
        <f>IF(Z4="yes",T62*(1+$G$3),0)</f>
        <v>0</v>
      </c>
      <c r="AA62" s="48"/>
      <c r="AB62" s="7"/>
      <c r="AC62" s="7"/>
      <c r="AD62" s="60"/>
      <c r="AE62" s="61"/>
      <c r="AF62" s="77">
        <f>IF(AF4="yes",Z62*(1+$G$3),0)</f>
        <v>0</v>
      </c>
      <c r="AG62" s="43">
        <f t="shared" si="53"/>
        <v>0</v>
      </c>
      <c r="AH62" s="43"/>
    </row>
    <row r="63" spans="1:34" s="27" customFormat="1" ht="12.75">
      <c r="A63" s="38"/>
      <c r="B63" s="22"/>
      <c r="C63" s="48"/>
      <c r="D63" s="7"/>
      <c r="E63" s="7"/>
      <c r="F63" s="60"/>
      <c r="G63" s="61"/>
      <c r="H63" s="58"/>
      <c r="I63" s="48"/>
      <c r="J63" s="7"/>
      <c r="K63" s="7"/>
      <c r="L63" s="60"/>
      <c r="M63" s="61"/>
      <c r="N63" s="58"/>
      <c r="O63" s="48"/>
      <c r="P63" s="7"/>
      <c r="Q63" s="7"/>
      <c r="R63" s="60"/>
      <c r="S63" s="61"/>
      <c r="T63" s="58"/>
      <c r="U63" s="48"/>
      <c r="V63" s="7"/>
      <c r="W63" s="7"/>
      <c r="X63" s="60"/>
      <c r="Y63" s="61"/>
      <c r="Z63" s="58"/>
      <c r="AA63" s="48"/>
      <c r="AB63" s="7"/>
      <c r="AC63" s="7"/>
      <c r="AD63" s="60"/>
      <c r="AE63" s="61"/>
      <c r="AF63" s="58"/>
      <c r="AG63" s="43">
        <f t="shared" si="53"/>
        <v>0</v>
      </c>
      <c r="AH63" s="43"/>
    </row>
    <row r="64" spans="1:34" s="2" customFormat="1" ht="12.75">
      <c r="A64" s="46"/>
      <c r="B64" s="7" t="s">
        <v>27</v>
      </c>
      <c r="C64" s="48"/>
      <c r="D64" s="7"/>
      <c r="E64" s="7"/>
      <c r="F64" s="60"/>
      <c r="G64" s="61"/>
      <c r="H64" s="58">
        <f>H62+H60+H48+H44+H39+H32+H18</f>
        <v>0</v>
      </c>
      <c r="I64" s="48"/>
      <c r="J64" s="7"/>
      <c r="K64" s="7"/>
      <c r="L64" s="60"/>
      <c r="M64" s="61"/>
      <c r="N64" s="58">
        <f>N62+N60+N48+N44+N39+N32+N18</f>
        <v>0</v>
      </c>
      <c r="O64" s="48"/>
      <c r="P64" s="7"/>
      <c r="Q64" s="7"/>
      <c r="R64" s="60"/>
      <c r="S64" s="61"/>
      <c r="T64" s="58">
        <f>T62+T60+T48+T44+T39+T32+T18</f>
        <v>0</v>
      </c>
      <c r="U64" s="48"/>
      <c r="V64" s="7"/>
      <c r="W64" s="7"/>
      <c r="X64" s="60"/>
      <c r="Y64" s="61"/>
      <c r="Z64" s="58">
        <f>Z62+Z60+Z48+Z44+Z39+Z32+Z18</f>
        <v>0</v>
      </c>
      <c r="AA64" s="48"/>
      <c r="AB64" s="7"/>
      <c r="AC64" s="7"/>
      <c r="AD64" s="60"/>
      <c r="AE64" s="61"/>
      <c r="AF64" s="58">
        <f>AF62+AF60+AF48+AF44+AF39+AF32+AF18</f>
        <v>0</v>
      </c>
      <c r="AG64" s="43">
        <f t="shared" si="53"/>
        <v>0</v>
      </c>
      <c r="AH64" s="43" t="b">
        <f>IF(AG64=(AG62+AG60+AG48+AG44+AG39+AG34),TRUE)</f>
        <v>1</v>
      </c>
    </row>
    <row r="65" spans="1:34" s="2" customFormat="1" ht="12.75">
      <c r="A65" s="48"/>
      <c r="B65" s="7"/>
      <c r="C65" s="48"/>
      <c r="D65" s="7"/>
      <c r="E65" s="7"/>
      <c r="F65" s="60"/>
      <c r="G65" s="61"/>
      <c r="H65" s="58"/>
      <c r="I65" s="48"/>
      <c r="J65" s="7"/>
      <c r="K65" s="7"/>
      <c r="L65" s="60"/>
      <c r="M65" s="61"/>
      <c r="N65" s="58"/>
      <c r="O65" s="48"/>
      <c r="P65" s="7"/>
      <c r="Q65" s="7"/>
      <c r="R65" s="60"/>
      <c r="S65" s="61"/>
      <c r="T65" s="58"/>
      <c r="U65" s="48"/>
      <c r="V65" s="7"/>
      <c r="W65" s="7"/>
      <c r="X65" s="60"/>
      <c r="Y65" s="61"/>
      <c r="Z65" s="58"/>
      <c r="AA65" s="48"/>
      <c r="AB65" s="7"/>
      <c r="AC65" s="7"/>
      <c r="AD65" s="60"/>
      <c r="AE65" s="61"/>
      <c r="AF65" s="58"/>
      <c r="AG65" s="43">
        <f t="shared" si="53"/>
        <v>0</v>
      </c>
      <c r="AH65" s="43"/>
    </row>
    <row r="66" spans="1:34" s="2" customFormat="1" ht="12.75">
      <c r="A66" s="48"/>
      <c r="B66" s="7" t="s">
        <v>26</v>
      </c>
      <c r="C66" s="48"/>
      <c r="D66" s="7"/>
      <c r="E66" s="7"/>
      <c r="F66" s="60"/>
      <c r="G66" s="61"/>
      <c r="H66" s="76"/>
      <c r="I66" s="48"/>
      <c r="J66" s="7"/>
      <c r="K66" s="7"/>
      <c r="L66" s="60"/>
      <c r="M66" s="61"/>
      <c r="N66" s="77">
        <f>IF(N$4="yes",H66*(1+$G$3),0)</f>
        <v>0</v>
      </c>
      <c r="O66" s="48"/>
      <c r="P66" s="7"/>
      <c r="Q66" s="7"/>
      <c r="R66" s="60"/>
      <c r="S66" s="61"/>
      <c r="T66" s="77">
        <f>IF(T$4="yes",N66*(1+$G$3),0)</f>
        <v>0</v>
      </c>
      <c r="U66" s="48"/>
      <c r="V66" s="7"/>
      <c r="W66" s="7"/>
      <c r="X66" s="60"/>
      <c r="Y66" s="61"/>
      <c r="Z66" s="77">
        <f>IF(Z$4="yes",T66*(1+$G$3),0)</f>
        <v>0</v>
      </c>
      <c r="AA66" s="48"/>
      <c r="AB66" s="7"/>
      <c r="AC66" s="7"/>
      <c r="AD66" s="60"/>
      <c r="AE66" s="61"/>
      <c r="AF66" s="77">
        <f>IF(AF$4="yes",Z66*(1+$G$3),0)</f>
        <v>0</v>
      </c>
      <c r="AG66" s="43">
        <f t="shared" si="53"/>
        <v>0</v>
      </c>
      <c r="AH66" s="43"/>
    </row>
    <row r="67" spans="1:34" s="2" customFormat="1" ht="12.75">
      <c r="A67" s="48"/>
      <c r="B67" s="7" t="s">
        <v>12</v>
      </c>
      <c r="C67" s="105"/>
      <c r="D67" s="106"/>
      <c r="E67" s="106"/>
      <c r="F67" s="107"/>
      <c r="G67" s="108"/>
      <c r="H67" s="58">
        <f>H66+H62</f>
        <v>0</v>
      </c>
      <c r="I67" s="105"/>
      <c r="J67" s="106"/>
      <c r="K67" s="106"/>
      <c r="L67" s="107"/>
      <c r="M67" s="108"/>
      <c r="N67" s="58">
        <f>N66+N62</f>
        <v>0</v>
      </c>
      <c r="O67" s="105"/>
      <c r="P67" s="106"/>
      <c r="Q67" s="106"/>
      <c r="R67" s="107"/>
      <c r="S67" s="108"/>
      <c r="T67" s="58">
        <f>T66+T62</f>
        <v>0</v>
      </c>
      <c r="U67" s="105"/>
      <c r="V67" s="106"/>
      <c r="W67" s="106"/>
      <c r="X67" s="107"/>
      <c r="Y67" s="108"/>
      <c r="Z67" s="58">
        <f>Z66+Z62</f>
        <v>0</v>
      </c>
      <c r="AA67" s="105"/>
      <c r="AB67" s="106"/>
      <c r="AC67" s="106"/>
      <c r="AD67" s="107"/>
      <c r="AE67" s="108"/>
      <c r="AF67" s="58">
        <f>AF66+AF62</f>
        <v>0</v>
      </c>
      <c r="AG67" s="43">
        <f t="shared" si="53"/>
        <v>0</v>
      </c>
      <c r="AH67" s="43"/>
    </row>
    <row r="68" spans="1:34" s="2" customFormat="1" ht="12.75">
      <c r="A68" s="48"/>
      <c r="B68" s="26" t="s">
        <v>16</v>
      </c>
      <c r="C68" s="105"/>
      <c r="D68" s="106"/>
      <c r="E68" s="106"/>
      <c r="F68" s="107"/>
      <c r="G68" s="108"/>
      <c r="H68" s="58">
        <f>IF(H67&gt;=25000,25000,H67)</f>
        <v>0</v>
      </c>
      <c r="I68" s="105"/>
      <c r="J68" s="106"/>
      <c r="K68" s="106"/>
      <c r="L68" s="107"/>
      <c r="M68" s="108"/>
      <c r="N68" s="58">
        <f>IF((H67+N67)&gt;=25000,25000-H68,N67)</f>
        <v>0</v>
      </c>
      <c r="O68" s="105"/>
      <c r="P68" s="106"/>
      <c r="Q68" s="106"/>
      <c r="R68" s="107"/>
      <c r="S68" s="108"/>
      <c r="T68" s="58">
        <f>IF(($H$67+$N$67+$T$67)&gt;=25000,25000-H68-N68,T67)</f>
        <v>0</v>
      </c>
      <c r="U68" s="105"/>
      <c r="V68" s="106"/>
      <c r="W68" s="106"/>
      <c r="X68" s="107"/>
      <c r="Y68" s="108"/>
      <c r="Z68" s="58">
        <f>IF(($H$67+$N$67+$T$67+$Z$67)&gt;=25000,25000-T68-N68-H68,Z67)</f>
        <v>0</v>
      </c>
      <c r="AA68" s="105"/>
      <c r="AB68" s="106"/>
      <c r="AC68" s="106"/>
      <c r="AD68" s="107"/>
      <c r="AE68" s="108"/>
      <c r="AF68" s="58">
        <f>IF((H67+N67+T67+Z67+AF67)&gt;=25000,25000-H68-N68-T68-Z68,AF67)</f>
        <v>0</v>
      </c>
      <c r="AG68" s="43">
        <f t="shared" si="53"/>
        <v>0</v>
      </c>
      <c r="AH68" s="43">
        <f>IF(AG67&gt;25000,25000,0)</f>
        <v>0</v>
      </c>
    </row>
    <row r="69" spans="1:34" s="2" customFormat="1" ht="13.5" thickBot="1">
      <c r="A69" s="48"/>
      <c r="B69" s="26" t="s">
        <v>17</v>
      </c>
      <c r="C69" s="48"/>
      <c r="D69" s="7"/>
      <c r="E69" s="7"/>
      <c r="F69" s="60"/>
      <c r="G69" s="61"/>
      <c r="H69" s="58">
        <f>H67-H68</f>
        <v>0</v>
      </c>
      <c r="I69" s="48"/>
      <c r="J69" s="7"/>
      <c r="K69" s="7"/>
      <c r="L69" s="60"/>
      <c r="M69" s="61"/>
      <c r="N69" s="58">
        <f>N67-N68</f>
        <v>0</v>
      </c>
      <c r="O69" s="48"/>
      <c r="P69" s="7"/>
      <c r="Q69" s="7"/>
      <c r="R69" s="60"/>
      <c r="S69" s="61"/>
      <c r="T69" s="58">
        <f>T67-T68</f>
        <v>0</v>
      </c>
      <c r="U69" s="48"/>
      <c r="V69" s="7"/>
      <c r="W69" s="7"/>
      <c r="X69" s="60"/>
      <c r="Y69" s="61"/>
      <c r="Z69" s="58">
        <f>Z67-Z68</f>
        <v>0</v>
      </c>
      <c r="AA69" s="48"/>
      <c r="AB69" s="7"/>
      <c r="AC69" s="7"/>
      <c r="AD69" s="60"/>
      <c r="AE69" s="61"/>
      <c r="AF69" s="58">
        <f>AF67-AF68</f>
        <v>0</v>
      </c>
      <c r="AG69" s="43">
        <f t="shared" si="53"/>
        <v>0</v>
      </c>
      <c r="AH69" s="44"/>
    </row>
    <row r="70" spans="1:34" s="27" customFormat="1" ht="13.5" thickBot="1">
      <c r="A70" s="83" t="s">
        <v>52</v>
      </c>
      <c r="B70" s="84"/>
      <c r="C70" s="84"/>
      <c r="D70" s="84"/>
      <c r="E70" s="84"/>
      <c r="F70" s="84"/>
      <c r="G70" s="84"/>
      <c r="H70" s="85"/>
      <c r="I70" s="83"/>
      <c r="J70" s="84"/>
      <c r="K70" s="84"/>
      <c r="L70" s="84"/>
      <c r="M70" s="84"/>
      <c r="N70" s="85"/>
      <c r="O70" s="83"/>
      <c r="P70" s="84"/>
      <c r="Q70" s="84"/>
      <c r="R70" s="84"/>
      <c r="S70" s="84"/>
      <c r="T70" s="85"/>
      <c r="U70" s="83"/>
      <c r="V70" s="84"/>
      <c r="W70" s="84"/>
      <c r="X70" s="84"/>
      <c r="Y70" s="84"/>
      <c r="Z70" s="85"/>
      <c r="AA70" s="83"/>
      <c r="AB70" s="84"/>
      <c r="AC70" s="84"/>
      <c r="AD70" s="84"/>
      <c r="AE70" s="84"/>
      <c r="AF70" s="85"/>
      <c r="AG70" s="86" t="s">
        <v>8</v>
      </c>
      <c r="AH70" s="86"/>
    </row>
    <row r="71" spans="1:34" s="2" customFormat="1" ht="12.75">
      <c r="A71" s="48"/>
      <c r="B71" s="47" t="s">
        <v>18</v>
      </c>
      <c r="C71" s="105"/>
      <c r="D71" s="106"/>
      <c r="E71" s="106"/>
      <c r="F71" s="107"/>
      <c r="G71" s="108"/>
      <c r="H71" s="58">
        <f>H66+H64</f>
        <v>0</v>
      </c>
      <c r="I71" s="105"/>
      <c r="J71" s="106"/>
      <c r="K71" s="106"/>
      <c r="L71" s="107"/>
      <c r="M71" s="108"/>
      <c r="N71" s="58">
        <f>N66+N64</f>
        <v>0</v>
      </c>
      <c r="O71" s="105"/>
      <c r="P71" s="106"/>
      <c r="Q71" s="106"/>
      <c r="R71" s="107"/>
      <c r="S71" s="108"/>
      <c r="T71" s="58">
        <f>T66+T64</f>
        <v>0</v>
      </c>
      <c r="U71" s="105"/>
      <c r="V71" s="106"/>
      <c r="W71" s="106"/>
      <c r="X71" s="107"/>
      <c r="Y71" s="108"/>
      <c r="Z71" s="58">
        <f>Z66+Z64</f>
        <v>0</v>
      </c>
      <c r="AA71" s="105"/>
      <c r="AB71" s="106"/>
      <c r="AC71" s="106"/>
      <c r="AD71" s="107"/>
      <c r="AE71" s="108"/>
      <c r="AF71" s="58">
        <f>AF66+AF64</f>
        <v>0</v>
      </c>
      <c r="AG71" s="43">
        <f>AF71+Z71+T71+N71+H71</f>
        <v>0</v>
      </c>
      <c r="AH71" s="43" t="b">
        <f>IF(AG71=AG64+AG66,TRUE)</f>
        <v>1</v>
      </c>
    </row>
    <row r="72" spans="1:34" s="2" customFormat="1" ht="12.75">
      <c r="A72" s="48"/>
      <c r="B72" s="47" t="s">
        <v>14</v>
      </c>
      <c r="C72" s="48"/>
      <c r="D72" s="7"/>
      <c r="E72" s="7"/>
      <c r="F72" s="60"/>
      <c r="G72" s="61"/>
      <c r="H72" s="58">
        <f>H71-(H69+H48+H39)</f>
        <v>0</v>
      </c>
      <c r="I72" s="48"/>
      <c r="J72" s="7"/>
      <c r="K72" s="7"/>
      <c r="L72" s="60"/>
      <c r="M72" s="61"/>
      <c r="N72" s="58">
        <f>N71-(N69+N48+N39)</f>
        <v>0</v>
      </c>
      <c r="O72" s="48"/>
      <c r="P72" s="7"/>
      <c r="Q72" s="7"/>
      <c r="R72" s="60"/>
      <c r="S72" s="61"/>
      <c r="T72" s="58">
        <f>T71-(T69+T48+T39)</f>
        <v>0</v>
      </c>
      <c r="U72" s="48"/>
      <c r="V72" s="7"/>
      <c r="W72" s="7"/>
      <c r="X72" s="60"/>
      <c r="Y72" s="61"/>
      <c r="Z72" s="58">
        <f>Z71-(Z69+Z48+Z39)</f>
        <v>0</v>
      </c>
      <c r="AA72" s="48"/>
      <c r="AB72" s="7"/>
      <c r="AC72" s="7"/>
      <c r="AD72" s="60"/>
      <c r="AE72" s="61"/>
      <c r="AF72" s="58">
        <f>AF71-(AF69+AF48+AF39)</f>
        <v>0</v>
      </c>
      <c r="AG72" s="43">
        <f>AF72+Z72+T72+N72+H72</f>
        <v>0</v>
      </c>
      <c r="AH72" s="43" t="b">
        <f>IF(AG72=AG71-(AG69+AG48+AG39),TRUE)</f>
        <v>1</v>
      </c>
    </row>
    <row r="73" spans="1:34" s="2" customFormat="1" ht="12.75">
      <c r="A73" s="48"/>
      <c r="B73" s="47" t="s">
        <v>160</v>
      </c>
      <c r="C73" s="105"/>
      <c r="D73" s="106"/>
      <c r="E73" s="106"/>
      <c r="F73" s="107"/>
      <c r="G73" s="108"/>
      <c r="H73" s="58">
        <f>ROUND(0.525*H72,0)</f>
        <v>0</v>
      </c>
      <c r="I73" s="105"/>
      <c r="J73" s="106"/>
      <c r="K73" s="106"/>
      <c r="L73" s="107"/>
      <c r="M73" s="108"/>
      <c r="N73" s="58">
        <f>ROUND(0.525*N72,0)</f>
        <v>0</v>
      </c>
      <c r="O73" s="105"/>
      <c r="P73" s="106"/>
      <c r="Q73" s="106"/>
      <c r="R73" s="107"/>
      <c r="S73" s="108"/>
      <c r="T73" s="58">
        <f>ROUND(0.525*T72,0)</f>
        <v>0</v>
      </c>
      <c r="U73" s="105"/>
      <c r="V73" s="106"/>
      <c r="W73" s="106"/>
      <c r="X73" s="107"/>
      <c r="Y73" s="108"/>
      <c r="Z73" s="58">
        <f>ROUND(0.525*Z72,0)</f>
        <v>0</v>
      </c>
      <c r="AA73" s="105"/>
      <c r="AB73" s="106"/>
      <c r="AC73" s="106"/>
      <c r="AD73" s="107"/>
      <c r="AE73" s="108"/>
      <c r="AF73" s="58">
        <f>ROUND(0.525*AF72,0)</f>
        <v>0</v>
      </c>
      <c r="AG73" s="43">
        <f>AF73+Z73+T73+N73+H73</f>
        <v>0</v>
      </c>
      <c r="AH73" s="43" t="b">
        <f>IF(AG73=ROUND(AG72*0.525,0),TRUE)</f>
        <v>1</v>
      </c>
    </row>
    <row r="74" spans="1:34" s="2" customFormat="1" ht="13.5" thickBot="1">
      <c r="A74" s="54"/>
      <c r="B74" s="55" t="s">
        <v>15</v>
      </c>
      <c r="C74" s="54"/>
      <c r="D74" s="104"/>
      <c r="E74" s="104"/>
      <c r="F74" s="62"/>
      <c r="G74" s="63"/>
      <c r="H74" s="59">
        <f>H71+H73</f>
        <v>0</v>
      </c>
      <c r="I74" s="54"/>
      <c r="J74" s="104"/>
      <c r="K74" s="104"/>
      <c r="L74" s="62"/>
      <c r="M74" s="63"/>
      <c r="N74" s="59">
        <f>N71+N73</f>
        <v>0</v>
      </c>
      <c r="O74" s="54"/>
      <c r="P74" s="104"/>
      <c r="Q74" s="104"/>
      <c r="R74" s="62"/>
      <c r="S74" s="63"/>
      <c r="T74" s="59">
        <f>T71+T73</f>
        <v>0</v>
      </c>
      <c r="U74" s="54"/>
      <c r="V74" s="104"/>
      <c r="W74" s="104"/>
      <c r="X74" s="62"/>
      <c r="Y74" s="63"/>
      <c r="Z74" s="59">
        <f>Z71+Z73</f>
        <v>0</v>
      </c>
      <c r="AA74" s="54"/>
      <c r="AB74" s="104"/>
      <c r="AC74" s="104"/>
      <c r="AD74" s="62"/>
      <c r="AE74" s="63"/>
      <c r="AF74" s="59">
        <f>AF71+AF73</f>
        <v>0</v>
      </c>
      <c r="AG74" s="45">
        <f>AF74+Z74+T74+N74+H74</f>
        <v>0</v>
      </c>
      <c r="AH74" s="45" t="b">
        <f>IF(AG74=AG73+AG71,TRUE)</f>
        <v>1</v>
      </c>
    </row>
    <row r="75" spans="2:34" s="245" customFormat="1" ht="12.75">
      <c r="B75" s="246"/>
      <c r="D75" s="246"/>
      <c r="E75" s="246"/>
      <c r="F75" s="240"/>
      <c r="G75" s="247"/>
      <c r="H75" s="248"/>
      <c r="J75" s="246"/>
      <c r="K75" s="246"/>
      <c r="L75" s="240"/>
      <c r="M75" s="240"/>
      <c r="N75" s="248"/>
      <c r="P75" s="246"/>
      <c r="Q75" s="246"/>
      <c r="R75" s="240"/>
      <c r="S75" s="240"/>
      <c r="T75" s="248"/>
      <c r="V75" s="246"/>
      <c r="W75" s="246"/>
      <c r="X75" s="240"/>
      <c r="Y75" s="240"/>
      <c r="Z75" s="248"/>
      <c r="AB75" s="246"/>
      <c r="AC75" s="246"/>
      <c r="AD75" s="240"/>
      <c r="AE75" s="240"/>
      <c r="AF75" s="248"/>
      <c r="AG75" s="249"/>
      <c r="AH75" s="249"/>
    </row>
    <row r="76" spans="1:34" s="6" customFormat="1" ht="15.75">
      <c r="A76" s="64" t="s">
        <v>29</v>
      </c>
      <c r="B76" s="11"/>
      <c r="C76" s="11"/>
      <c r="D76" s="11"/>
      <c r="E76" s="11"/>
      <c r="J76" s="11"/>
      <c r="K76" s="11"/>
      <c r="P76" s="11"/>
      <c r="Q76" s="11"/>
      <c r="V76" s="11"/>
      <c r="W76" s="11"/>
      <c r="AB76" s="11"/>
      <c r="AC76" s="11"/>
      <c r="AG76" s="14"/>
      <c r="AH76" s="254"/>
    </row>
    <row r="77" spans="1:36" s="67" customFormat="1" ht="15">
      <c r="A77" s="66"/>
      <c r="D77" s="68" t="s">
        <v>54</v>
      </c>
      <c r="E77" s="68"/>
      <c r="G77" s="261">
        <v>12</v>
      </c>
      <c r="H77" s="69"/>
      <c r="I77" s="69"/>
      <c r="J77" s="70"/>
      <c r="K77" s="70"/>
      <c r="L77" s="69"/>
      <c r="M77" s="69">
        <f>G77+1</f>
        <v>13</v>
      </c>
      <c r="N77" s="69"/>
      <c r="O77" s="69"/>
      <c r="P77" s="70"/>
      <c r="Q77" s="70"/>
      <c r="R77" s="69"/>
      <c r="S77" s="69">
        <f>M77+1</f>
        <v>14</v>
      </c>
      <c r="T77" s="69"/>
      <c r="U77" s="69"/>
      <c r="V77" s="70"/>
      <c r="W77" s="70"/>
      <c r="X77" s="69"/>
      <c r="Y77" s="69">
        <f>S77+1</f>
        <v>15</v>
      </c>
      <c r="Z77" s="69"/>
      <c r="AA77" s="69"/>
      <c r="AB77" s="70"/>
      <c r="AC77" s="70"/>
      <c r="AD77" s="69"/>
      <c r="AE77" s="69">
        <f>Y77+1</f>
        <v>16</v>
      </c>
      <c r="AF77" s="69"/>
      <c r="AG77" s="71"/>
      <c r="AH77" s="69"/>
      <c r="AJ77" s="69">
        <f>AE77+1</f>
        <v>17</v>
      </c>
    </row>
    <row r="78" spans="1:36" s="30" customFormat="1" ht="12.75">
      <c r="A78" s="32"/>
      <c r="B78" s="33"/>
      <c r="C78" s="34"/>
      <c r="D78" s="35" t="s">
        <v>9</v>
      </c>
      <c r="E78" s="35"/>
      <c r="G78" s="262">
        <v>0.257</v>
      </c>
      <c r="J78" s="35"/>
      <c r="K78" s="35"/>
      <c r="M78" s="262">
        <v>0.258</v>
      </c>
      <c r="P78" s="35"/>
      <c r="Q78" s="35"/>
      <c r="S78" s="262">
        <v>0.259</v>
      </c>
      <c r="V78" s="35"/>
      <c r="W78" s="35"/>
      <c r="Y78" s="262">
        <v>0.26</v>
      </c>
      <c r="AB78" s="35"/>
      <c r="AC78" s="35"/>
      <c r="AE78" s="262">
        <v>0.261</v>
      </c>
      <c r="AG78" s="31"/>
      <c r="AH78" s="255"/>
      <c r="AJ78" s="262">
        <v>0.261</v>
      </c>
    </row>
    <row r="79" spans="1:34" s="30" customFormat="1" ht="12.75">
      <c r="A79" s="32"/>
      <c r="B79" s="33"/>
      <c r="C79" s="34"/>
      <c r="D79" s="35" t="s">
        <v>21</v>
      </c>
      <c r="E79" s="35"/>
      <c r="G79" s="263">
        <v>2</v>
      </c>
      <c r="J79" s="35"/>
      <c r="K79" s="35"/>
      <c r="M79" s="112">
        <f>G79</f>
        <v>2</v>
      </c>
      <c r="P79" s="35"/>
      <c r="Q79" s="35"/>
      <c r="S79" s="112">
        <f>M79</f>
        <v>2</v>
      </c>
      <c r="V79" s="35"/>
      <c r="W79" s="35"/>
      <c r="Y79" s="112">
        <f>S79</f>
        <v>2</v>
      </c>
      <c r="AB79" s="35"/>
      <c r="AC79" s="35"/>
      <c r="AE79" s="112">
        <f>Y79</f>
        <v>2</v>
      </c>
      <c r="AG79" s="37"/>
      <c r="AH79" s="37"/>
    </row>
    <row r="80" spans="1:34" s="30" customFormat="1" ht="12.75">
      <c r="A80" s="32"/>
      <c r="B80" s="33"/>
      <c r="C80" s="34"/>
      <c r="D80" s="35" t="s">
        <v>22</v>
      </c>
      <c r="E80" s="35"/>
      <c r="G80" s="263">
        <v>10</v>
      </c>
      <c r="J80" s="35"/>
      <c r="K80" s="35"/>
      <c r="M80" s="112">
        <f>G80</f>
        <v>10</v>
      </c>
      <c r="P80" s="35"/>
      <c r="Q80" s="35"/>
      <c r="S80" s="112">
        <f>M80</f>
        <v>10</v>
      </c>
      <c r="V80" s="35"/>
      <c r="W80" s="35"/>
      <c r="Y80" s="112">
        <f>S80</f>
        <v>10</v>
      </c>
      <c r="AB80" s="35"/>
      <c r="AC80" s="35"/>
      <c r="AE80" s="112">
        <f>Y80</f>
        <v>10</v>
      </c>
      <c r="AG80" s="37"/>
      <c r="AH80" s="37"/>
    </row>
    <row r="81" spans="1:34" s="30" customFormat="1" ht="12.75">
      <c r="A81" s="32"/>
      <c r="B81" s="33"/>
      <c r="C81" s="34"/>
      <c r="D81" s="35" t="s">
        <v>23</v>
      </c>
      <c r="E81" s="35"/>
      <c r="G81" s="36">
        <f>((G79*G78)+(G80*M78))/12</f>
        <v>0.25783333333333336</v>
      </c>
      <c r="J81" s="35"/>
      <c r="K81" s="35"/>
      <c r="M81" s="36">
        <f>((M79*M78)+(M80*S78))/12</f>
        <v>0.2588333333333333</v>
      </c>
      <c r="P81" s="35"/>
      <c r="Q81" s="35"/>
      <c r="S81" s="36">
        <f>((S79*S78)+(S80*Y78))/12</f>
        <v>0.25983333333333336</v>
      </c>
      <c r="V81" s="35"/>
      <c r="W81" s="35"/>
      <c r="Y81" s="36">
        <f>((Y79*Y78)+(Y80*AE78))/12</f>
        <v>0.26083333333333336</v>
      </c>
      <c r="AB81" s="35"/>
      <c r="AC81" s="35"/>
      <c r="AE81" s="36">
        <f>((AE79*AE78)+(AE80*AJ78))/12</f>
        <v>0.26100000000000007</v>
      </c>
      <c r="AG81" s="36"/>
      <c r="AH81" s="36"/>
    </row>
  </sheetData>
  <sheetProtection/>
  <mergeCells count="5">
    <mergeCell ref="AA5:AF5"/>
    <mergeCell ref="C5:H5"/>
    <mergeCell ref="I5:N5"/>
    <mergeCell ref="O5:T5"/>
    <mergeCell ref="U5:Z5"/>
  </mergeCells>
  <printOptions horizontalCentered="1"/>
  <pageMargins left="0.25" right="0.25" top="0.25" bottom="0.3" header="0.5" footer="0.2"/>
  <pageSetup horizontalDpi="600" verticalDpi="600" orientation="landscape" paperSize="5" scale="50" r:id="rId3"/>
  <headerFooter alignWithMargins="0">
    <oddFooter>&amp;Rhttp://www.research.northwestern.edu/nurap/tools.html</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showGridLines="0" zoomScalePageLayoutView="0" workbookViewId="0" topLeftCell="A7">
      <selection activeCell="O18" sqref="O18"/>
    </sheetView>
  </sheetViews>
  <sheetFormatPr defaultColWidth="9.140625" defaultRowHeight="12.75"/>
  <cols>
    <col min="1" max="1" width="20.140625" style="116" customWidth="1"/>
    <col min="2" max="2" width="11.00390625" style="116" customWidth="1"/>
    <col min="3" max="3" width="12.140625" style="116" customWidth="1"/>
    <col min="4" max="4" width="11.8515625" style="116" customWidth="1"/>
    <col min="5" max="6" width="11.140625" style="116" customWidth="1"/>
    <col min="7" max="7" width="10.00390625" style="116" customWidth="1"/>
    <col min="8" max="8" width="9.8515625" style="116" customWidth="1"/>
    <col min="9" max="13" width="9.140625" style="0" hidden="1" customWidth="1"/>
    <col min="18" max="18" width="17.00390625" style="0" customWidth="1"/>
  </cols>
  <sheetData>
    <row r="1" spans="1:7" ht="12.75">
      <c r="A1" s="115" t="str">
        <f>IF((SUM(H13:H39)&gt;0),"When recording additional modules, specify budget year in Row H7 in the format 'Year One'."," ")</f>
        <v> </v>
      </c>
      <c r="G1" s="117" t="s">
        <v>83</v>
      </c>
    </row>
    <row r="2" spans="1:5" ht="12.75">
      <c r="A2" s="115"/>
      <c r="E2" s="118"/>
    </row>
    <row r="3" spans="5:8" ht="12.75">
      <c r="E3" s="119" t="s">
        <v>84</v>
      </c>
      <c r="F3" s="120" t="s">
        <v>82</v>
      </c>
      <c r="G3" s="120"/>
      <c r="H3" s="120"/>
    </row>
    <row r="4" spans="1:8" ht="18.75" customHeight="1">
      <c r="A4" s="121" t="s">
        <v>85</v>
      </c>
      <c r="B4" s="122"/>
      <c r="C4" s="122"/>
      <c r="D4" s="122"/>
      <c r="E4" s="122"/>
      <c r="F4" s="122"/>
      <c r="G4" s="122"/>
      <c r="H4" s="122"/>
    </row>
    <row r="5" spans="1:8" ht="21" customHeight="1">
      <c r="A5" s="123" t="s">
        <v>86</v>
      </c>
      <c r="B5" s="122"/>
      <c r="C5" s="122"/>
      <c r="D5" s="122"/>
      <c r="E5" s="122"/>
      <c r="F5" s="122"/>
      <c r="G5" s="122"/>
      <c r="H5" s="122"/>
    </row>
    <row r="6" spans="1:8" ht="12.75">
      <c r="A6" s="124" t="s">
        <v>87</v>
      </c>
      <c r="B6" s="125"/>
      <c r="C6" s="125"/>
      <c r="D6" s="125"/>
      <c r="E6" s="125"/>
      <c r="F6" s="125"/>
      <c r="G6" s="125"/>
      <c r="H6" s="125"/>
    </row>
    <row r="7" spans="1:8" ht="13.5" customHeight="1">
      <c r="A7" s="126" t="s">
        <v>88</v>
      </c>
      <c r="B7" s="125"/>
      <c r="C7" s="125"/>
      <c r="D7" s="125"/>
      <c r="E7" s="125"/>
      <c r="F7" s="125"/>
      <c r="G7" s="125"/>
      <c r="H7" s="127"/>
    </row>
    <row r="8" spans="1:8" ht="13.5" customHeight="1">
      <c r="A8" s="126" t="s">
        <v>89</v>
      </c>
      <c r="B8" s="125"/>
      <c r="C8" s="125"/>
      <c r="D8" s="125"/>
      <c r="E8" s="125"/>
      <c r="F8" s="125"/>
      <c r="G8" s="125"/>
      <c r="H8" s="127"/>
    </row>
    <row r="9" spans="1:8" ht="14.25" customHeight="1">
      <c r="A9" s="128"/>
      <c r="B9" s="129" t="s">
        <v>90</v>
      </c>
      <c r="C9" s="130" t="s">
        <v>91</v>
      </c>
      <c r="D9" s="130" t="s">
        <v>92</v>
      </c>
      <c r="E9" s="130" t="s">
        <v>93</v>
      </c>
      <c r="F9" s="131" t="s">
        <v>94</v>
      </c>
      <c r="G9" s="132" t="s">
        <v>95</v>
      </c>
      <c r="H9" s="130" t="s">
        <v>90</v>
      </c>
    </row>
    <row r="10" spans="1:10" ht="12.75">
      <c r="A10" s="133" t="s">
        <v>96</v>
      </c>
      <c r="B10" s="134">
        <v>39417</v>
      </c>
      <c r="C10" s="135">
        <v>39783</v>
      </c>
      <c r="D10" s="135"/>
      <c r="E10" s="135"/>
      <c r="F10" s="136"/>
      <c r="G10" s="137" t="s">
        <v>97</v>
      </c>
      <c r="H10" s="138" t="s">
        <v>98</v>
      </c>
      <c r="J10" s="139"/>
    </row>
    <row r="11" spans="1:18" ht="25.5">
      <c r="A11" s="140" t="s">
        <v>99</v>
      </c>
      <c r="B11" s="141">
        <v>39782</v>
      </c>
      <c r="C11" s="142">
        <v>40147</v>
      </c>
      <c r="D11" s="142"/>
      <c r="E11" s="142"/>
      <c r="F11" s="143"/>
      <c r="G11" s="144"/>
      <c r="H11" s="145" t="s">
        <v>100</v>
      </c>
      <c r="J11" s="139"/>
      <c r="R11" s="146"/>
    </row>
    <row r="12" spans="1:10" ht="13.5" customHeight="1">
      <c r="A12" s="147" t="s">
        <v>144</v>
      </c>
      <c r="B12" s="148"/>
      <c r="C12" s="148"/>
      <c r="D12" s="148"/>
      <c r="E12" s="148"/>
      <c r="F12" s="148"/>
      <c r="G12" s="148"/>
      <c r="H12" s="149"/>
      <c r="J12" s="139"/>
    </row>
    <row r="13" spans="1:18" ht="25.5">
      <c r="A13" s="150" t="s">
        <v>101</v>
      </c>
      <c r="B13" s="151">
        <v>0</v>
      </c>
      <c r="C13" s="152">
        <v>0</v>
      </c>
      <c r="D13" s="152"/>
      <c r="E13" s="152"/>
      <c r="F13" s="153"/>
      <c r="G13" s="154">
        <f aca="true" t="shared" si="0" ref="G13:G18">SUM(B13:F13)</f>
        <v>0</v>
      </c>
      <c r="H13" s="152"/>
      <c r="R13" s="115" t="str">
        <f>IF((SUM(H13:H39)&gt;0),"Additional modules"," ")</f>
        <v> </v>
      </c>
    </row>
    <row r="14" spans="1:18" ht="25.5">
      <c r="A14" s="150" t="s">
        <v>102</v>
      </c>
      <c r="B14" s="151">
        <v>0</v>
      </c>
      <c r="C14" s="152">
        <v>0</v>
      </c>
      <c r="D14" s="152"/>
      <c r="E14" s="152"/>
      <c r="F14" s="153"/>
      <c r="G14" s="154">
        <f t="shared" si="0"/>
        <v>0</v>
      </c>
      <c r="H14" s="152"/>
      <c r="R14" s="115" t="str">
        <f>IF((SUM(H14:H40)&gt;0),"Additional modules"," ")</f>
        <v> </v>
      </c>
    </row>
    <row r="15" spans="1:18" ht="26.25" customHeight="1">
      <c r="A15" s="150" t="s">
        <v>103</v>
      </c>
      <c r="B15" s="151"/>
      <c r="C15" s="152"/>
      <c r="D15" s="152"/>
      <c r="E15" s="152"/>
      <c r="F15" s="153"/>
      <c r="G15" s="154">
        <f t="shared" si="0"/>
        <v>0</v>
      </c>
      <c r="H15" s="152"/>
      <c r="R15" s="155"/>
    </row>
    <row r="16" spans="1:18" ht="26.25" customHeight="1">
      <c r="A16" s="156" t="s">
        <v>104</v>
      </c>
      <c r="B16" s="157">
        <v>0</v>
      </c>
      <c r="C16" s="158">
        <v>0</v>
      </c>
      <c r="D16" s="158"/>
      <c r="E16" s="158"/>
      <c r="F16" s="159"/>
      <c r="G16" s="154">
        <f t="shared" si="0"/>
        <v>0</v>
      </c>
      <c r="H16" s="152"/>
      <c r="R16" s="155"/>
    </row>
    <row r="17" spans="1:18" ht="26.25" customHeight="1">
      <c r="A17" s="156" t="s">
        <v>105</v>
      </c>
      <c r="B17" s="157">
        <v>0</v>
      </c>
      <c r="C17" s="158">
        <v>0</v>
      </c>
      <c r="D17" s="158"/>
      <c r="E17" s="158"/>
      <c r="F17" s="159"/>
      <c r="G17" s="154">
        <f t="shared" si="0"/>
        <v>0</v>
      </c>
      <c r="H17" s="152"/>
      <c r="R17" s="155"/>
    </row>
    <row r="18" spans="1:8" ht="27" customHeight="1">
      <c r="A18" s="156" t="s">
        <v>106</v>
      </c>
      <c r="B18" s="157"/>
      <c r="C18" s="158"/>
      <c r="D18" s="158"/>
      <c r="E18" s="158"/>
      <c r="F18" s="159"/>
      <c r="G18" s="154">
        <f t="shared" si="0"/>
        <v>0</v>
      </c>
      <c r="H18" s="152"/>
    </row>
    <row r="19" spans="1:8" ht="14.25" customHeight="1">
      <c r="A19" s="160" t="s">
        <v>145</v>
      </c>
      <c r="B19" s="161"/>
      <c r="C19" s="161"/>
      <c r="D19" s="161"/>
      <c r="E19" s="161"/>
      <c r="F19" s="161"/>
      <c r="G19" s="161"/>
      <c r="H19" s="162"/>
    </row>
    <row r="20" spans="1:8" ht="12.75">
      <c r="A20" s="163" t="s">
        <v>107</v>
      </c>
      <c r="B20" s="164"/>
      <c r="C20" s="164"/>
      <c r="D20" s="164"/>
      <c r="E20" s="164"/>
      <c r="F20" s="164"/>
      <c r="G20" s="164"/>
      <c r="H20" s="165"/>
    </row>
    <row r="21" spans="1:8" ht="12.75">
      <c r="A21" s="166"/>
      <c r="B21" s="167"/>
      <c r="C21" s="167"/>
      <c r="D21" s="167"/>
      <c r="E21" s="167"/>
      <c r="F21" s="167"/>
      <c r="G21" s="167"/>
      <c r="H21" s="168"/>
    </row>
    <row r="22" spans="1:13" ht="12.75">
      <c r="A22" s="169" t="s">
        <v>108</v>
      </c>
      <c r="B22" s="170"/>
      <c r="C22" s="171"/>
      <c r="D22" s="171"/>
      <c r="E22" s="171"/>
      <c r="F22" s="172"/>
      <c r="G22" s="171">
        <f aca="true" t="shared" si="1" ref="G22:G27">B22+C22+D22+E22+F22</f>
        <v>0</v>
      </c>
      <c r="H22" s="173"/>
      <c r="I22" s="174">
        <f>IF($B22+$B23&gt;25000,B22+B23-25000,0)</f>
        <v>0</v>
      </c>
      <c r="J22" s="174">
        <f>IF(I22&gt;0,C22+C23,IF(SUM(B22:C23)&gt;25000,SUM(B22:C23)-25000,0))</f>
        <v>0</v>
      </c>
      <c r="K22" s="174">
        <f>IF(I22+J22&gt;0,D22+D23,IF(SUM(B22:D23)&gt;25000,SUM(B22:D23)-25000,0))</f>
        <v>0</v>
      </c>
      <c r="L22" s="174">
        <f>IF(I22+J22+K22&gt;0,E22+E23,IF(SUM(B22:E23)&gt;25000,SUM(B22:E23)-25000,0))</f>
        <v>0</v>
      </c>
      <c r="M22" s="174">
        <f>IF(I22+J22+K22+L22&gt;0,F22+F23,IF(SUM(B22:F23)&gt;25000,SUM(B22:F23)-25000,0))</f>
        <v>0</v>
      </c>
    </row>
    <row r="23" spans="1:13" ht="12.75">
      <c r="A23" s="169" t="s">
        <v>109</v>
      </c>
      <c r="B23" s="175"/>
      <c r="C23" s="171"/>
      <c r="D23" s="171"/>
      <c r="E23" s="171"/>
      <c r="F23" s="176"/>
      <c r="G23" s="171">
        <f t="shared" si="1"/>
        <v>0</v>
      </c>
      <c r="H23" s="173"/>
      <c r="I23" s="174"/>
      <c r="J23" s="174"/>
      <c r="K23" s="174"/>
      <c r="L23" s="174"/>
      <c r="M23" s="174"/>
    </row>
    <row r="24" spans="1:13" ht="12.75">
      <c r="A24" s="169" t="s">
        <v>110</v>
      </c>
      <c r="B24" s="175"/>
      <c r="C24" s="171"/>
      <c r="D24" s="171"/>
      <c r="E24" s="171"/>
      <c r="F24" s="176"/>
      <c r="G24" s="171">
        <f t="shared" si="1"/>
        <v>0</v>
      </c>
      <c r="H24" s="173"/>
      <c r="I24" s="174">
        <f>IF($B24+$B25&gt;25000,B24+B25-25000,0)</f>
        <v>0</v>
      </c>
      <c r="J24" s="174">
        <f>IF(I24&gt;0,C24+C25,IF(SUM(B24:C25)&gt;25000,SUM(B24:C25)-25000,0))</f>
        <v>0</v>
      </c>
      <c r="K24" s="174">
        <f>IF(I24+J24&gt;0,D24+D25,IF(SUM(B24:D25)&gt;25000,SUM(B24:D25)-25000,0))</f>
        <v>0</v>
      </c>
      <c r="L24" s="174">
        <f>IF(I24+J24+K24&gt;0,E24+E25,IF(SUM(B24:E25)&gt;25000,SUM(B24:E25)-25000,0))</f>
        <v>0</v>
      </c>
      <c r="M24" s="174">
        <f>IF(I24+J24+K24+L24&gt;0,F24+F25,IF(SUM(B24:F25)&gt;25000,SUM(B24:F25)-25000,0))</f>
        <v>0</v>
      </c>
    </row>
    <row r="25" spans="1:13" ht="12.75">
      <c r="A25" s="169" t="s">
        <v>111</v>
      </c>
      <c r="B25" s="175"/>
      <c r="C25" s="171"/>
      <c r="D25" s="171"/>
      <c r="E25" s="171"/>
      <c r="F25" s="176"/>
      <c r="G25" s="171">
        <f t="shared" si="1"/>
        <v>0</v>
      </c>
      <c r="H25" s="173"/>
      <c r="I25" s="174"/>
      <c r="J25" s="174"/>
      <c r="K25" s="174"/>
      <c r="L25" s="174"/>
      <c r="M25" s="174"/>
    </row>
    <row r="26" spans="1:13" ht="13.5" customHeight="1">
      <c r="A26" s="169" t="s">
        <v>112</v>
      </c>
      <c r="B26" s="175"/>
      <c r="C26" s="171"/>
      <c r="D26" s="171"/>
      <c r="E26" s="171"/>
      <c r="F26" s="176"/>
      <c r="G26" s="171">
        <f t="shared" si="1"/>
        <v>0</v>
      </c>
      <c r="H26" s="173"/>
      <c r="I26" s="174">
        <f>IF($B26+$B27&gt;25000,B26+B27-25000,0)</f>
        <v>0</v>
      </c>
      <c r="J26" s="174">
        <f>IF(I26&gt;0,C26+C27,IF(SUM(B26:C27)&gt;25000,SUM(B26:C27)-25000,0))</f>
        <v>0</v>
      </c>
      <c r="K26" s="174">
        <f>IF(I26+J26&gt;0,D26+D27,IF(SUM(B26:D27)&gt;25000,SUM(B26:D27)-25000,0))</f>
        <v>0</v>
      </c>
      <c r="L26" s="174">
        <f>IF(I26+J26+K26&gt;0,E26+E27,IF(SUM(B26:E27)&gt;25000,SUM(B26:E27)-25000,0))</f>
        <v>0</v>
      </c>
      <c r="M26" s="174">
        <f>IF(I26+J26+K26+L26&gt;0,F26+F27,IF(SUM(B26:F27)&gt;25000,SUM(B26:F27)-25000,0))</f>
        <v>0</v>
      </c>
    </row>
    <row r="27" spans="1:17" ht="13.5" customHeight="1">
      <c r="A27" s="177" t="s">
        <v>113</v>
      </c>
      <c r="B27" s="178"/>
      <c r="C27" s="179"/>
      <c r="D27" s="179"/>
      <c r="E27" s="179"/>
      <c r="F27" s="180"/>
      <c r="G27" s="171">
        <f t="shared" si="1"/>
        <v>0</v>
      </c>
      <c r="H27" s="179"/>
      <c r="I27" s="181"/>
      <c r="J27" s="181"/>
      <c r="K27" s="181"/>
      <c r="L27" s="181"/>
      <c r="M27" s="181"/>
      <c r="N27" s="181"/>
      <c r="O27" s="181"/>
      <c r="P27" s="181"/>
      <c r="Q27" s="181"/>
    </row>
    <row r="28" spans="1:17" ht="13.5" customHeight="1">
      <c r="A28" s="160" t="s">
        <v>146</v>
      </c>
      <c r="B28" s="161"/>
      <c r="C28" s="161"/>
      <c r="D28" s="161"/>
      <c r="E28" s="161"/>
      <c r="F28" s="161"/>
      <c r="G28" s="161"/>
      <c r="H28" s="165"/>
      <c r="I28" s="182"/>
      <c r="J28" s="182"/>
      <c r="K28" s="182"/>
      <c r="L28" s="182"/>
      <c r="M28" s="182"/>
      <c r="N28" s="182"/>
      <c r="O28" s="182"/>
      <c r="P28" s="182"/>
      <c r="Q28" s="182"/>
    </row>
    <row r="29" spans="1:8" ht="12.75">
      <c r="A29" s="183" t="s">
        <v>114</v>
      </c>
      <c r="B29" s="164"/>
      <c r="C29" s="164"/>
      <c r="D29" s="164"/>
      <c r="E29" s="164"/>
      <c r="F29" s="164"/>
      <c r="G29" s="164"/>
      <c r="H29" s="165"/>
    </row>
    <row r="30" spans="1:8" ht="12.75">
      <c r="A30" s="183" t="s">
        <v>115</v>
      </c>
      <c r="B30" s="164"/>
      <c r="C30" s="164"/>
      <c r="D30" s="164"/>
      <c r="E30" s="164"/>
      <c r="F30" s="164"/>
      <c r="G30" s="164"/>
      <c r="H30" s="165"/>
    </row>
    <row r="31" spans="1:8" ht="12.75">
      <c r="A31" s="184" t="s">
        <v>116</v>
      </c>
      <c r="B31" s="167"/>
      <c r="C31" s="167"/>
      <c r="D31" s="167"/>
      <c r="E31" s="167"/>
      <c r="F31" s="167"/>
      <c r="G31" s="164"/>
      <c r="H31" s="168"/>
    </row>
    <row r="32" spans="1:8" ht="12.75">
      <c r="A32" s="128" t="s">
        <v>147</v>
      </c>
      <c r="B32" s="170">
        <f>'calculation page'!H18</f>
        <v>0</v>
      </c>
      <c r="C32" s="185">
        <f>'calculation page'!N18</f>
        <v>0</v>
      </c>
      <c r="D32" s="185"/>
      <c r="E32" s="185"/>
      <c r="F32" s="172"/>
      <c r="G32" s="174">
        <f aca="true" t="shared" si="2" ref="G32:G39">SUM(B32:F32)</f>
        <v>0</v>
      </c>
      <c r="H32" s="173"/>
    </row>
    <row r="33" spans="1:8" ht="12.75">
      <c r="A33" s="169" t="s">
        <v>148</v>
      </c>
      <c r="B33" s="175">
        <f>'calculation page'!H32</f>
        <v>0</v>
      </c>
      <c r="C33" s="171">
        <f>'calculation page'!N32</f>
        <v>0</v>
      </c>
      <c r="D33" s="171"/>
      <c r="E33" s="171"/>
      <c r="F33" s="176"/>
      <c r="G33" s="171">
        <f t="shared" si="2"/>
        <v>0</v>
      </c>
      <c r="H33" s="173"/>
    </row>
    <row r="34" spans="1:8" ht="12.75">
      <c r="A34" s="169" t="s">
        <v>149</v>
      </c>
      <c r="B34" s="175">
        <f>'calculation page'!H39</f>
        <v>0</v>
      </c>
      <c r="C34" s="173">
        <f>'calculation page'!N39</f>
        <v>0</v>
      </c>
      <c r="D34" s="173"/>
      <c r="E34" s="173"/>
      <c r="F34" s="176"/>
      <c r="G34" s="171">
        <f t="shared" si="2"/>
        <v>0</v>
      </c>
      <c r="H34" s="173"/>
    </row>
    <row r="35" spans="1:8" ht="12.75">
      <c r="A35" s="169" t="s">
        <v>150</v>
      </c>
      <c r="B35" s="175">
        <f>'calculation page'!H44</f>
        <v>0</v>
      </c>
      <c r="C35" s="173">
        <f>'calculation page'!N44</f>
        <v>0</v>
      </c>
      <c r="D35" s="173"/>
      <c r="E35" s="173"/>
      <c r="F35" s="176"/>
      <c r="G35" s="171">
        <f t="shared" si="2"/>
        <v>0</v>
      </c>
      <c r="H35" s="173"/>
    </row>
    <row r="36" spans="1:8" ht="12.75">
      <c r="A36" s="169" t="s">
        <v>151</v>
      </c>
      <c r="B36" s="175">
        <f>'calculation page'!H60</f>
        <v>0</v>
      </c>
      <c r="C36" s="173">
        <f>'calculation page'!N60</f>
        <v>0</v>
      </c>
      <c r="D36" s="173"/>
      <c r="E36" s="173"/>
      <c r="F36" s="176"/>
      <c r="G36" s="171">
        <f t="shared" si="2"/>
        <v>0</v>
      </c>
      <c r="H36" s="173"/>
    </row>
    <row r="37" spans="1:8" ht="12.75">
      <c r="A37" s="169"/>
      <c r="B37" s="175"/>
      <c r="C37" s="173"/>
      <c r="D37" s="173"/>
      <c r="E37" s="173"/>
      <c r="F37" s="176"/>
      <c r="G37" s="171">
        <f t="shared" si="2"/>
        <v>0</v>
      </c>
      <c r="H37" s="173"/>
    </row>
    <row r="38" spans="1:8" ht="12.75">
      <c r="A38" s="169"/>
      <c r="B38" s="175"/>
      <c r="C38" s="173"/>
      <c r="D38" s="173"/>
      <c r="E38" s="173"/>
      <c r="F38" s="176"/>
      <c r="G38" s="171">
        <f t="shared" si="2"/>
        <v>0</v>
      </c>
      <c r="H38" s="173"/>
    </row>
    <row r="39" spans="1:8" ht="12.75">
      <c r="A39" s="186"/>
      <c r="B39" s="178"/>
      <c r="C39" s="179"/>
      <c r="D39" s="179"/>
      <c r="E39" s="179"/>
      <c r="F39" s="180"/>
      <c r="G39" s="187">
        <f t="shared" si="2"/>
        <v>0</v>
      </c>
      <c r="H39" s="179"/>
    </row>
    <row r="40" spans="1:8" ht="9" customHeight="1">
      <c r="A40" s="188"/>
      <c r="B40" s="189"/>
      <c r="C40" s="189"/>
      <c r="D40" s="189"/>
      <c r="E40" s="189"/>
      <c r="F40" s="189"/>
      <c r="G40" s="190"/>
      <c r="H40" s="191"/>
    </row>
    <row r="41" spans="1:8" ht="24">
      <c r="A41" s="192" t="s">
        <v>117</v>
      </c>
      <c r="B41" s="193">
        <f>SUM(B13,B14,B15,B16,B17,B18,B22,B24,B26,B32,B33,B34,B35,B36,B37,B38,B39)</f>
        <v>0</v>
      </c>
      <c r="C41" s="194">
        <f aca="true" t="shared" si="3" ref="C41:H41">SUM(C13,C15,C16,C17,C18,C22,C24,C26,C32,C33,C34,C35,C36,C37,C38,C39)</f>
        <v>0</v>
      </c>
      <c r="D41" s="194">
        <f t="shared" si="3"/>
        <v>0</v>
      </c>
      <c r="E41" s="194">
        <f t="shared" si="3"/>
        <v>0</v>
      </c>
      <c r="F41" s="195">
        <f t="shared" si="3"/>
        <v>0</v>
      </c>
      <c r="G41" s="193">
        <f t="shared" si="3"/>
        <v>0</v>
      </c>
      <c r="H41" s="194">
        <f t="shared" si="3"/>
        <v>0</v>
      </c>
    </row>
    <row r="42" spans="1:8" ht="20.25" customHeight="1">
      <c r="A42" s="196" t="s">
        <v>118</v>
      </c>
      <c r="B42" s="197"/>
      <c r="C42" s="197"/>
      <c r="D42" s="197"/>
      <c r="E42" s="197"/>
      <c r="F42" s="197"/>
      <c r="G42" s="198"/>
      <c r="H42" s="199"/>
    </row>
    <row r="43" spans="1:8" ht="20.25" customHeight="1" hidden="1">
      <c r="A43" s="200"/>
      <c r="B43" s="198">
        <f>IF(B41&gt;0,A43+1,0)</f>
        <v>0</v>
      </c>
      <c r="C43" s="198">
        <f>IF(C41&gt;0,B43+1,B43)</f>
        <v>0</v>
      </c>
      <c r="D43" s="198">
        <f>IF(D41&gt;0,C43+1,C43)</f>
        <v>0</v>
      </c>
      <c r="E43" s="198">
        <f>IF(E41&gt;0,D43+1,D43)</f>
        <v>0</v>
      </c>
      <c r="F43" s="198">
        <f>IF(F41&gt;0,E43+1,E43)</f>
        <v>0</v>
      </c>
      <c r="G43" s="198"/>
      <c r="H43" s="199"/>
    </row>
    <row r="44" spans="1:9" ht="12.75">
      <c r="A44" s="201" t="s">
        <v>119</v>
      </c>
      <c r="B44" s="202">
        <f>G41</f>
        <v>0</v>
      </c>
      <c r="C44" s="203" t="s">
        <v>120</v>
      </c>
      <c r="D44" s="204">
        <v>2</v>
      </c>
      <c r="E44" s="205" t="s">
        <v>121</v>
      </c>
      <c r="F44" s="206"/>
      <c r="G44" s="194">
        <f>IF(B44&gt;0,IF(B44&lt;12500,25000,(25000*(ROUND(B44/D44/25000,0)))),0)</f>
        <v>0</v>
      </c>
      <c r="H44" s="199"/>
      <c r="I44" s="207">
        <f>IF(G41&gt;0,(G41+H41)/G47,0)</f>
        <v>0</v>
      </c>
    </row>
    <row r="45" spans="1:9" ht="21.75" customHeight="1">
      <c r="A45" s="208" t="s">
        <v>122</v>
      </c>
      <c r="B45" s="120"/>
      <c r="C45" s="120"/>
      <c r="D45" s="120"/>
      <c r="E45" s="120"/>
      <c r="F45" s="120"/>
      <c r="G45" s="198"/>
      <c r="H45" s="199"/>
      <c r="I45" s="207">
        <f>IF(G41&gt;0,G47/(G41+H41),0)</f>
        <v>0</v>
      </c>
    </row>
    <row r="46" spans="1:8" ht="27.75" customHeight="1">
      <c r="A46" s="128" t="s">
        <v>123</v>
      </c>
      <c r="B46" s="209"/>
      <c r="C46" s="210"/>
      <c r="D46" s="210"/>
      <c r="E46" s="210"/>
      <c r="F46" s="211"/>
      <c r="G46" s="212" t="s">
        <v>124</v>
      </c>
      <c r="H46" s="213"/>
    </row>
    <row r="47" spans="1:8" ht="13.5" customHeight="1">
      <c r="A47" s="214" t="s">
        <v>125</v>
      </c>
      <c r="B47" s="215">
        <v>125000</v>
      </c>
      <c r="C47" s="179">
        <v>150000</v>
      </c>
      <c r="D47" s="179">
        <f>IF(D41&gt;0,IF(H9="Year Three",H41+G44,G44),0)</f>
        <v>0</v>
      </c>
      <c r="E47" s="179">
        <f>IF(E41&gt;0,IF(H9="Year Four",H41+G44,G44),0)</f>
        <v>0</v>
      </c>
      <c r="F47" s="180">
        <f>IF(F41&gt;0,IF(H9="Year Five",H41+G44,G44),0)</f>
        <v>0</v>
      </c>
      <c r="G47" s="216">
        <f aca="true" t="shared" si="4" ref="G47:G54">SUM(B47:F47)</f>
        <v>275000</v>
      </c>
      <c r="H47" s="217"/>
    </row>
    <row r="48" spans="1:8" ht="12" customHeight="1">
      <c r="A48" s="214" t="s">
        <v>126</v>
      </c>
      <c r="B48" s="151">
        <f>SUM(B23+B25+B27)</f>
        <v>0</v>
      </c>
      <c r="C48" s="152">
        <f>SUM(C23+C25+C27)</f>
        <v>0</v>
      </c>
      <c r="D48" s="152">
        <f>SUM(D23+D25+D27)</f>
        <v>0</v>
      </c>
      <c r="E48" s="152">
        <f>SUM(E23+E25+E27)</f>
        <v>0</v>
      </c>
      <c r="F48" s="153">
        <f>SUM(F23+F25+F27)</f>
        <v>0</v>
      </c>
      <c r="G48" s="218">
        <f t="shared" si="4"/>
        <v>0</v>
      </c>
      <c r="H48" s="219"/>
    </row>
    <row r="49" spans="1:8" ht="12" customHeight="1">
      <c r="A49" s="214" t="s">
        <v>127</v>
      </c>
      <c r="B49" s="151">
        <f>SUM(B47:B48)</f>
        <v>125000</v>
      </c>
      <c r="C49" s="152">
        <f>SUM(C47:C48)</f>
        <v>150000</v>
      </c>
      <c r="D49" s="152">
        <f>SUM(D47:D48)</f>
        <v>0</v>
      </c>
      <c r="E49" s="152">
        <f>SUM(E47:E48)</f>
        <v>0</v>
      </c>
      <c r="F49" s="153">
        <f>SUM(F47:F48)</f>
        <v>0</v>
      </c>
      <c r="G49" s="218">
        <f t="shared" si="4"/>
        <v>275000</v>
      </c>
      <c r="H49" s="219"/>
    </row>
    <row r="50" spans="1:18" ht="13.5" customHeight="1">
      <c r="A50" s="220" t="s">
        <v>128</v>
      </c>
      <c r="B50" s="193">
        <v>125000</v>
      </c>
      <c r="C50" s="194">
        <v>150000</v>
      </c>
      <c r="D50" s="194">
        <f>ROUND(IF($H$9="year three",(D49-(SUM(D13:D18))-(SUM(K22:K26)))-(SUM($H$13:$H$18)),(D49-(SUM(D13:D18))-(SUM(K22:K26)))),0)</f>
        <v>0</v>
      </c>
      <c r="E50" s="194">
        <f>ROUND(IF($H$9="year four",(E49-(SUM(E13:E18))-(SUM(L22:L26)))-(SUM($H$13:$H$18)),(E49-(SUM(E13:E18))-(SUM(L22:L26)))),0)</f>
        <v>0</v>
      </c>
      <c r="F50" s="221">
        <f>ROUND(IF($H$9="year five",(F49-(SUM(F13:F18))-(SUM(M22:M26)))-(SUM($H$13:$H$18)),(F49-(SUM(F13:F18))-(SUM(M22:M26)))),0)</f>
        <v>0</v>
      </c>
      <c r="G50" s="222">
        <f t="shared" si="4"/>
        <v>275000</v>
      </c>
      <c r="H50" s="213"/>
      <c r="R50" s="182"/>
    </row>
    <row r="51" spans="1:8" ht="12.75">
      <c r="A51" s="223" t="s">
        <v>129</v>
      </c>
      <c r="B51" s="193">
        <f>SUM(B52:B53)</f>
        <v>63750</v>
      </c>
      <c r="C51" s="194">
        <f>SUM(C52:C53)</f>
        <v>76500</v>
      </c>
      <c r="D51" s="194">
        <f>SUM(D52:D53)</f>
        <v>0</v>
      </c>
      <c r="E51" s="194">
        <f>SUM(E52:E53)</f>
        <v>0</v>
      </c>
      <c r="F51" s="221">
        <f>SUM(F52:F53)</f>
        <v>0</v>
      </c>
      <c r="G51" s="224">
        <f t="shared" si="4"/>
        <v>140250</v>
      </c>
      <c r="H51" s="225"/>
    </row>
    <row r="52" spans="1:8" ht="12.75">
      <c r="A52" s="226" t="str">
        <f>IF(B65=0,"     Single Rate","     First "&amp;B64&amp;" Months")</f>
        <v>     Single Rate</v>
      </c>
      <c r="B52" s="151">
        <f>IF(B10="",0,IF(B10&gt;$D68,B50*E69,IF(B10&gt;$D67,B59,B58)))</f>
        <v>63750</v>
      </c>
      <c r="C52" s="227">
        <f>IF(C10="",0,IF(C10&gt;$D68,C60,IF(C10&gt;$D67,C59,C58)))</f>
        <v>76500</v>
      </c>
      <c r="D52" s="227">
        <f>IF(D10="",0,IF(D10&gt;$D68,D60,IF(D10&gt;$D67,D59,D58)))</f>
        <v>0</v>
      </c>
      <c r="E52" s="227">
        <f>IF(E10="",0,IF(E10&gt;$D68,E60,IF(E10&gt;$D67,E59,E58)))</f>
        <v>0</v>
      </c>
      <c r="F52" s="153">
        <f>IF(F10="",0,IF(F10&gt;$D68,F60,IF(F10&gt;$D67,F59,F58)))</f>
        <v>0</v>
      </c>
      <c r="G52" s="224">
        <f t="shared" si="4"/>
        <v>140250</v>
      </c>
      <c r="H52" s="219"/>
    </row>
    <row r="53" spans="1:8" ht="12.75">
      <c r="A53" s="226">
        <f>IF(B65=0,"","     Last "&amp;B65&amp;" Months")</f>
      </c>
      <c r="B53" s="151">
        <f>IF(B10="",0,IF(B11&gt;$D$68,B63,IF(B11&gt;$D$67,B62,B61)))</f>
        <v>0</v>
      </c>
      <c r="C53" s="152">
        <f>IF(C10="",0,IF(C11&gt;$D$68,C63,IF(C11&gt;$D$67,C62,C61)))</f>
        <v>0</v>
      </c>
      <c r="D53" s="152">
        <f>IF(D10="",0,IF(D11&gt;$D$68,D63,IF(D11&gt;$D$67,D62,D61)))</f>
        <v>0</v>
      </c>
      <c r="E53" s="152">
        <f>IF(E10="",0,IF(E11&gt;$D$68,E63,IF(E11&gt;$D$67,E62,E61)))</f>
        <v>0</v>
      </c>
      <c r="F53" s="153">
        <f>IF(F10="",0,IF(F11&gt;$D$68,F63,IF(F11&gt;$D$67,F62,F61)))</f>
        <v>0</v>
      </c>
      <c r="G53" s="218">
        <f t="shared" si="4"/>
        <v>0</v>
      </c>
      <c r="H53" s="219"/>
    </row>
    <row r="54" spans="1:8" ht="12.75">
      <c r="A54" s="223" t="s">
        <v>130</v>
      </c>
      <c r="B54" s="228">
        <f>B49+B51</f>
        <v>188750</v>
      </c>
      <c r="C54" s="194">
        <f>C49+C51</f>
        <v>226500</v>
      </c>
      <c r="D54" s="194">
        <f>D49+D51</f>
        <v>0</v>
      </c>
      <c r="E54" s="194">
        <f>E49+E51</f>
        <v>0</v>
      </c>
      <c r="F54" s="221">
        <f>F49+F51</f>
        <v>0</v>
      </c>
      <c r="G54" s="229">
        <f t="shared" si="4"/>
        <v>415250</v>
      </c>
      <c r="H54" s="213"/>
    </row>
    <row r="55" spans="1:8" ht="12.75">
      <c r="A55" s="230"/>
      <c r="B55" s="231"/>
      <c r="C55" s="181"/>
      <c r="D55" s="181"/>
      <c r="E55" s="181"/>
      <c r="F55" s="181"/>
      <c r="G55" s="232"/>
      <c r="H55" s="233"/>
    </row>
    <row r="56" spans="1:8" ht="12.75" hidden="1">
      <c r="A56" s="230"/>
      <c r="B56" s="231"/>
      <c r="C56" s="181"/>
      <c r="D56" s="181"/>
      <c r="E56" s="181"/>
      <c r="F56" s="181"/>
      <c r="G56" s="232"/>
      <c r="H56" s="233"/>
    </row>
    <row r="57" spans="1:6" ht="12.75" hidden="1">
      <c r="A57" s="116" t="s">
        <v>131</v>
      </c>
      <c r="B57" s="116">
        <f>(B50/ROUND(((B11-B10)/30.33),0))</f>
        <v>10416.666666666666</v>
      </c>
      <c r="C57" s="116">
        <f>(C50/ROUND(((C11-C10)/30.33),0))</f>
        <v>12500</v>
      </c>
      <c r="D57" s="116" t="e">
        <f>(D50/ROUND(((D11-D10)/30.33),0))</f>
        <v>#DIV/0!</v>
      </c>
      <c r="E57" s="116" t="e">
        <f>(E50/ROUND(((E11-E10)/30.33),0))</f>
        <v>#DIV/0!</v>
      </c>
      <c r="F57" s="116" t="e">
        <f>(F50/ROUND(((F11-F10)/30.33),0))</f>
        <v>#DIV/0!</v>
      </c>
    </row>
    <row r="58" spans="1:6" ht="12.75" hidden="1">
      <c r="A58" s="116" t="s">
        <v>132</v>
      </c>
      <c r="B58" s="116">
        <f>B$64*B$57*$E$67</f>
        <v>61875</v>
      </c>
      <c r="C58" s="116">
        <f>C$64*C$57*$E$67</f>
        <v>74250</v>
      </c>
      <c r="D58" s="116" t="e">
        <f>D$64*D$57*$E$67</f>
        <v>#DIV/0!</v>
      </c>
      <c r="E58" s="116" t="e">
        <f>E$64*E$57*$E$67</f>
        <v>#DIV/0!</v>
      </c>
      <c r="F58" s="116" t="e">
        <f>F$64*F$57*$E$67</f>
        <v>#DIV/0!</v>
      </c>
    </row>
    <row r="59" spans="1:18" ht="12.75" hidden="1">
      <c r="A59" s="116" t="s">
        <v>133</v>
      </c>
      <c r="B59" s="116">
        <f>B$64*B$57*$E$68</f>
        <v>63750</v>
      </c>
      <c r="C59" s="116">
        <f>C$64*C$57*$E$68</f>
        <v>76500</v>
      </c>
      <c r="D59" s="116" t="e">
        <f>D$64*D$57*$E$68</f>
        <v>#DIV/0!</v>
      </c>
      <c r="E59" s="116" t="e">
        <f>E$64*E$57*$E$68</f>
        <v>#DIV/0!</v>
      </c>
      <c r="F59" s="116" t="e">
        <f>F$64*F$57*$E$68</f>
        <v>#DIV/0!</v>
      </c>
      <c r="R59" s="234"/>
    </row>
    <row r="60" spans="1:6" ht="12.75" hidden="1">
      <c r="A60" s="116" t="s">
        <v>134</v>
      </c>
      <c r="B60" s="116">
        <f>B$64*B$57*$E$69</f>
        <v>63750</v>
      </c>
      <c r="C60" s="116">
        <f>C$64*C$57*$E$69</f>
        <v>76500</v>
      </c>
      <c r="D60" s="116" t="e">
        <f>D$64*D$57*$E$69</f>
        <v>#DIV/0!</v>
      </c>
      <c r="E60" s="116" t="e">
        <f>E$64*E$57*$E$69</f>
        <v>#DIV/0!</v>
      </c>
      <c r="F60" s="116" t="e">
        <f>F$64*F$57*$E$69</f>
        <v>#DIV/0!</v>
      </c>
    </row>
    <row r="61" spans="1:6" ht="12.75" hidden="1">
      <c r="A61" s="116" t="s">
        <v>135</v>
      </c>
      <c r="B61" s="116">
        <f>B$65*B$57*$E$67</f>
        <v>0</v>
      </c>
      <c r="C61" s="116">
        <f>C$65*C$57*$E$67</f>
        <v>0</v>
      </c>
      <c r="D61" s="116" t="e">
        <f>D$65*D$57*$E$67</f>
        <v>#DIV/0!</v>
      </c>
      <c r="E61" s="116" t="e">
        <f>E$65*E$57*$E$67</f>
        <v>#DIV/0!</v>
      </c>
      <c r="F61" s="116" t="e">
        <f>F$65*F$57*$E$67</f>
        <v>#DIV/0!</v>
      </c>
    </row>
    <row r="62" spans="1:8" ht="12.75" hidden="1">
      <c r="A62" s="116" t="s">
        <v>136</v>
      </c>
      <c r="B62" s="116">
        <f>B$65*B$57*$E$68</f>
        <v>0</v>
      </c>
      <c r="C62" s="116">
        <f>C$65*C$57*$E$68</f>
        <v>0</v>
      </c>
      <c r="D62" s="116" t="e">
        <f>D$65*D$57*$E$68</f>
        <v>#DIV/0!</v>
      </c>
      <c r="E62" s="116" t="e">
        <f>E$65*E$57*$E$68</f>
        <v>#DIV/0!</v>
      </c>
      <c r="F62" s="116" t="e">
        <f>F$65*F$57*$E$68</f>
        <v>#DIV/0!</v>
      </c>
      <c r="H62" s="234"/>
    </row>
    <row r="63" spans="1:6" ht="12.75" hidden="1">
      <c r="A63" s="116" t="s">
        <v>137</v>
      </c>
      <c r="B63" s="116">
        <f>B65*B$57*$E$69</f>
        <v>0</v>
      </c>
      <c r="C63" s="116">
        <f>C65*C$57*$E$69</f>
        <v>0</v>
      </c>
      <c r="D63" s="116" t="e">
        <f>D65*D$57*$E$69</f>
        <v>#DIV/0!</v>
      </c>
      <c r="E63" s="116" t="e">
        <f>E65*E$57*$E$69</f>
        <v>#DIV/0!</v>
      </c>
      <c r="F63" s="116" t="e">
        <f>F65*F$57*$E$69</f>
        <v>#DIV/0!</v>
      </c>
    </row>
    <row r="64" spans="1:6" ht="12.75" hidden="1">
      <c r="A64" s="116" t="s">
        <v>138</v>
      </c>
      <c r="B64" s="116">
        <f>IF(B10="",0,IF(B10&gt;$D68,(ROUND(((B11-B10)/30.33),0)),IF(B10&gt;$D67,ROUND((($D68-B10)/30.33),0),ROUND((($D67-B10)/30.33),0))))</f>
        <v>12</v>
      </c>
      <c r="C64" s="116">
        <f>IF(ROUND((C11-C10)/30.33,0)=($B$64+$B$65),$B$64,IF(ROUND(((C11-C10)/30.33),0)&lt;$B$64,ROUND(((C11-C10)/30.33),0),$B$64))</f>
        <v>12</v>
      </c>
      <c r="D64" s="116">
        <f>IF(ROUND((D11-D10)/30.33,0)=($B$64+$B$65),$B$64,IF(ROUND(((D11-D10)/30.33),0)&lt;$B$64,ROUND(((D11-D10)/30.33),0),$B$64))</f>
        <v>0</v>
      </c>
      <c r="E64" s="116">
        <f>IF(ROUND((E11-E10)/30.33,0)=($B$64+$B$65),$B$64,IF(ROUND(((E11-E10)/30.33),0)&lt;$B$64,ROUND(((E11-E10)/30.33),0),$B$64))</f>
        <v>0</v>
      </c>
      <c r="F64" s="116">
        <f>IF(ROUND((F11-F10)/30.33,0)=($B$64+$B$65),$B$64,IF(ROUND(((F11-F10)/30.33),0)&lt;$B$64,ROUND(((F11-F10)/30.33),0),$B$64))</f>
        <v>0</v>
      </c>
    </row>
    <row r="65" spans="1:6" ht="12.75" hidden="1">
      <c r="A65" s="116" t="s">
        <v>139</v>
      </c>
      <c r="B65" s="116">
        <f>ROUND(((B11-B10)/30.33),0)-B64</f>
        <v>0</v>
      </c>
      <c r="C65" s="116">
        <f>ROUND(((C11-C10)/30.33),0)-C64</f>
        <v>0</v>
      </c>
      <c r="D65" s="116">
        <f>ROUND(((D11-D10)/30.33),0)-D64</f>
        <v>0</v>
      </c>
      <c r="E65" s="116">
        <f>ROUND(((E11-E10)/30.33),0)-E64</f>
        <v>0</v>
      </c>
      <c r="F65" s="116">
        <f>ROUND(((F11-F10)/30.33),0)-F64</f>
        <v>0</v>
      </c>
    </row>
    <row r="66" ht="12.75" hidden="1">
      <c r="B66" s="235"/>
    </row>
    <row r="67" spans="1:5" ht="12.75" hidden="1">
      <c r="A67" s="236" t="s">
        <v>140</v>
      </c>
      <c r="C67" s="235" t="s">
        <v>141</v>
      </c>
      <c r="D67" s="237">
        <v>38960</v>
      </c>
      <c r="E67" s="116">
        <v>0.495</v>
      </c>
    </row>
    <row r="68" spans="3:5" ht="12.75" hidden="1">
      <c r="C68" s="235" t="s">
        <v>142</v>
      </c>
      <c r="D68" s="237">
        <v>39325</v>
      </c>
      <c r="E68" s="116">
        <v>0.51</v>
      </c>
    </row>
    <row r="69" spans="2:5" ht="12.75" hidden="1">
      <c r="B69" s="237"/>
      <c r="C69" s="235" t="s">
        <v>143</v>
      </c>
      <c r="D69" s="237">
        <v>39325</v>
      </c>
      <c r="E69" s="116">
        <v>0.51</v>
      </c>
    </row>
    <row r="70" spans="2:3" ht="12.75">
      <c r="B70" s="237"/>
      <c r="C70" s="238"/>
    </row>
    <row r="71" ht="12.75"/>
    <row r="72" ht="12.75">
      <c r="B72" s="237"/>
    </row>
    <row r="73" ht="12.75">
      <c r="B73" s="239"/>
    </row>
  </sheetData>
  <sheetProtection/>
  <printOptions/>
  <pageMargins left="0.65" right="0.36" top="0.48" bottom="0.3" header="0.43" footer="0.24"/>
  <pageSetup fitToHeight="1" fitToWidth="1" horizontalDpi="300" verticalDpi="300" orientation="portrait"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BSD-MIS</dc:creator>
  <cp:keywords/>
  <dc:description/>
  <cp:lastModifiedBy>mgrana</cp:lastModifiedBy>
  <cp:lastPrinted>2011-10-03T17:28:17Z</cp:lastPrinted>
  <dcterms:created xsi:type="dcterms:W3CDTF">1997-09-18T19:54:31Z</dcterms:created>
  <dcterms:modified xsi:type="dcterms:W3CDTF">2011-10-03T18:22:21Z</dcterms:modified>
  <cp:category/>
  <cp:version/>
  <cp:contentType/>
  <cp:contentStatus/>
</cp:coreProperties>
</file>