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heckCompatibility="1" defaultThemeVersion="124226"/>
  <bookViews>
    <workbookView xWindow="0" yWindow="90" windowWidth="19035" windowHeight="8700" firstSheet="1" activeTab="2"/>
  </bookViews>
  <sheets>
    <sheet name="Instructions" sheetId="2" state="hidden" r:id="rId1"/>
    <sheet name="Chair FY11" sheetId="1" r:id="rId2"/>
    <sheet name="Staff Salary Dist" sheetId="5" r:id="rId3"/>
    <sheet name="Chair R03" sheetId="4" r:id="rId4"/>
    <sheet name="Chair R01" sheetId="9" r:id="rId5"/>
    <sheet name="Chair Non-Fed" sheetId="3" r:id="rId6"/>
    <sheet name="Operating" sheetId="6" r:id="rId7"/>
    <sheet name="Endow" sheetId="7" r:id="rId8"/>
    <sheet name="Composite" sheetId="8" r:id="rId9"/>
  </sheets>
  <externalReferences>
    <externalReference r:id="rId10"/>
    <externalReference r:id="rId11"/>
    <externalReference r:id="rId12"/>
    <externalReference r:id="rId13"/>
  </externalReferences>
  <definedNames>
    <definedName name="AssocDirect">'[1]Summary Data'!$G$31</definedName>
    <definedName name="Assocnsf">'[1]Summary Data'!$G$44</definedName>
    <definedName name="BAssoc">'[1]Summary Data'!$F$38</definedName>
    <definedName name="BAsst">'[1]Summary Data'!$F$39</definedName>
    <definedName name="BProf">'[1]Summary Data'!$F$37</definedName>
    <definedName name="BProfSal">'[1]Summary Data'!$I$43</definedName>
    <definedName name="CAssoc">'[1]Summary Data'!$E$38</definedName>
    <definedName name="CAssocSal">'[1]Summary Data'!$H$44</definedName>
    <definedName name="CAsst">'[1]Summary Data'!$E$39</definedName>
    <definedName name="CombDirectTotal">[2]ENTRBUD!$G$21</definedName>
    <definedName name="Cost_esc">'[1]Summary Data'!$B$36</definedName>
    <definedName name="CProf">'[1]Summary Data'!$E$37</definedName>
    <definedName name="FirstIndirect">[2]CHKLST!$O$42</definedName>
    <definedName name="FirstSubtotal">[2]FIRSTBUD!$I$39</definedName>
    <definedName name="FirstTotalDirect">[2]FIRSTBUD!$I$41</definedName>
    <definedName name="Ind_Rate">'[1]Summary Data'!$B$35</definedName>
    <definedName name="NIH_cap">'[1]Summary Data'!$B$37</definedName>
    <definedName name="_xlnm.Print_Area" localSheetId="1">'Chair FY11'!$A$1:$BN$26</definedName>
    <definedName name="_xlnm.Print_Area" localSheetId="5">'Chair Non-Fed'!$A$1:$BU$36</definedName>
    <definedName name="_xlnm.Print_Area" localSheetId="4">'Chair R01'!$A$1:$BU$39</definedName>
    <definedName name="_xlnm.Print_Area" localSheetId="3">'Chair R03'!$A$1:$AL$34</definedName>
    <definedName name="_xlnm.Print_Area" localSheetId="8">Composite!$A$1:$H$48</definedName>
    <definedName name="_xlnm.Print_Area" localSheetId="7">Endow!$A$1:$AK$32</definedName>
    <definedName name="_xlnm.Print_Area" localSheetId="6">Operating!$A$1:$AK$60</definedName>
    <definedName name="_xlnm.Print_Area" localSheetId="2">'Staff Salary Dist'!$A$1:$AQ$29</definedName>
    <definedName name="_xlnm.Print_Titles" localSheetId="1">'Chair FY11'!$A:$E,'Chair FY11'!$1:$10</definedName>
    <definedName name="_xlnm.Print_Titles" localSheetId="5">'Chair Non-Fed'!$A:$C</definedName>
    <definedName name="_xlnm.Print_Titles" localSheetId="4">'Chair R01'!$A:$C</definedName>
    <definedName name="_xlnm.Print_Titles" localSheetId="3">'Chair R03'!$A:$C</definedName>
    <definedName name="_xlnm.Print_Titles" localSheetId="7">Endow!$A:$B</definedName>
    <definedName name="_xlnm.Print_Titles" localSheetId="6">Operating!$A:$B</definedName>
    <definedName name="_xlnm.Print_Titles" localSheetId="2">'Staff Salary Dist'!$A:$C</definedName>
    <definedName name="ProfDirect">'[1]Summary Data'!$G$30</definedName>
    <definedName name="Profnsf">'[1]Summary Data'!$G$43</definedName>
    <definedName name="rnsf_pi">'[3]PI costs and cohorts'!$F$5</definedName>
  </definedNames>
  <calcPr calcId="145621"/>
</workbook>
</file>

<file path=xl/calcChain.xml><?xml version="1.0" encoding="utf-8"?>
<calcChain xmlns="http://schemas.openxmlformats.org/spreadsheetml/2006/main">
  <c r="K15" i="5" l="1"/>
  <c r="J15" i="5"/>
  <c r="M15" i="5" s="1"/>
  <c r="K14" i="5"/>
  <c r="J14" i="5"/>
  <c r="M14" i="5" s="1"/>
  <c r="K13" i="5"/>
  <c r="J13" i="5"/>
  <c r="M13" i="5" s="1"/>
  <c r="K8" i="5"/>
  <c r="J8" i="5"/>
  <c r="M8" i="5" s="1"/>
  <c r="K7" i="5"/>
  <c r="J7" i="5"/>
  <c r="M7" i="5" s="1"/>
  <c r="K6" i="5"/>
  <c r="J6" i="5"/>
  <c r="M6" i="5" s="1"/>
  <c r="K5" i="5"/>
  <c r="J5" i="5"/>
  <c r="M5" i="5" s="1"/>
  <c r="N14" i="5" l="1"/>
  <c r="P14" i="5"/>
  <c r="P13" i="5"/>
  <c r="N13" i="5"/>
  <c r="P15" i="5"/>
  <c r="N15" i="5"/>
  <c r="N5" i="5"/>
  <c r="P5" i="5"/>
  <c r="N6" i="5"/>
  <c r="P6" i="5"/>
  <c r="N7" i="5"/>
  <c r="P7" i="5"/>
  <c r="N8" i="5"/>
  <c r="P8" i="5"/>
  <c r="R21" i="1"/>
  <c r="R16" i="1"/>
  <c r="R15" i="1"/>
  <c r="R13" i="1"/>
  <c r="R12" i="1"/>
  <c r="R11" i="1"/>
  <c r="O21" i="1"/>
  <c r="K21" i="1"/>
  <c r="S15" i="5" l="1"/>
  <c r="Q15" i="5"/>
  <c r="Q13" i="5"/>
  <c r="S13" i="5"/>
  <c r="Q14" i="5"/>
  <c r="S14" i="5"/>
  <c r="S8" i="5"/>
  <c r="Q8" i="5"/>
  <c r="Q7" i="5"/>
  <c r="S7" i="5"/>
  <c r="Q6" i="5"/>
  <c r="S6" i="5"/>
  <c r="Q5" i="5"/>
  <c r="S5" i="5"/>
  <c r="AJ37" i="6"/>
  <c r="AJ36" i="6"/>
  <c r="AJ34" i="6"/>
  <c r="AJ33" i="6"/>
  <c r="AJ31" i="6"/>
  <c r="AJ30" i="6"/>
  <c r="AJ55" i="6"/>
  <c r="AJ53" i="6"/>
  <c r="AJ51" i="6"/>
  <c r="AJ46" i="6"/>
  <c r="AJ41" i="6"/>
  <c r="H18" i="8"/>
  <c r="H9" i="8"/>
  <c r="F27" i="8"/>
  <c r="F26" i="8"/>
  <c r="AH23" i="3"/>
  <c r="AH28" i="3"/>
  <c r="D7" i="3"/>
  <c r="BT18" i="3"/>
  <c r="G18" i="3"/>
  <c r="D18" i="3"/>
  <c r="F18" i="8"/>
  <c r="E27" i="8"/>
  <c r="E26" i="8"/>
  <c r="E18" i="8"/>
  <c r="E9" i="8"/>
  <c r="D27" i="8"/>
  <c r="D26" i="8"/>
  <c r="D18" i="8"/>
  <c r="D9" i="8"/>
  <c r="C22" i="8"/>
  <c r="C20" i="8"/>
  <c r="C18" i="8"/>
  <c r="C8" i="8"/>
  <c r="C5" i="8"/>
  <c r="B18" i="8"/>
  <c r="B5" i="8"/>
  <c r="AK14" i="7"/>
  <c r="AJ15" i="7"/>
  <c r="AG15" i="7"/>
  <c r="AD15" i="7"/>
  <c r="AA15" i="7"/>
  <c r="X15" i="7"/>
  <c r="U15" i="7"/>
  <c r="R15" i="7"/>
  <c r="O15" i="7"/>
  <c r="L15" i="7"/>
  <c r="I15" i="7"/>
  <c r="F15" i="7"/>
  <c r="C15" i="7"/>
  <c r="AL34" i="4"/>
  <c r="AK28" i="4"/>
  <c r="AK24" i="4"/>
  <c r="P14" i="4"/>
  <c r="M14" i="4"/>
  <c r="J14" i="4"/>
  <c r="P13" i="4"/>
  <c r="M13" i="4"/>
  <c r="J13" i="4"/>
  <c r="G14" i="4"/>
  <c r="G13" i="4"/>
  <c r="D14" i="4"/>
  <c r="D13" i="4"/>
  <c r="AK12" i="4"/>
  <c r="AH12" i="4"/>
  <c r="AE12" i="4"/>
  <c r="AB12" i="4"/>
  <c r="Y12" i="4"/>
  <c r="V12" i="4"/>
  <c r="S12" i="4"/>
  <c r="P12" i="4"/>
  <c r="M12" i="4"/>
  <c r="J12" i="4"/>
  <c r="G12" i="4"/>
  <c r="D12" i="4"/>
  <c r="B17" i="9"/>
  <c r="B16" i="9"/>
  <c r="B14" i="4"/>
  <c r="B13" i="4"/>
  <c r="C14" i="4"/>
  <c r="C13" i="4"/>
  <c r="AK15" i="9"/>
  <c r="AM15" i="9" s="1"/>
  <c r="AP15" i="9" s="1"/>
  <c r="AS15" i="9" s="1"/>
  <c r="AV15" i="9" s="1"/>
  <c r="AY15" i="9" s="1"/>
  <c r="BB15" i="9" s="1"/>
  <c r="BE15" i="9" s="1"/>
  <c r="BH15" i="9" s="1"/>
  <c r="BK15" i="9" s="1"/>
  <c r="BN15" i="9" s="1"/>
  <c r="BQ15" i="9" s="1"/>
  <c r="AK14" i="9"/>
  <c r="AK13" i="9"/>
  <c r="AM13" i="9" s="1"/>
  <c r="AP13" i="9" s="1"/>
  <c r="AS13" i="9" s="1"/>
  <c r="AV13" i="9" s="1"/>
  <c r="AY13" i="9" s="1"/>
  <c r="BB13" i="9" s="1"/>
  <c r="BE13" i="9" s="1"/>
  <c r="BH13" i="9" s="1"/>
  <c r="BK13" i="9" s="1"/>
  <c r="BN13" i="9" s="1"/>
  <c r="BQ13" i="9" s="1"/>
  <c r="AS12" i="9"/>
  <c r="AV12" i="9" s="1"/>
  <c r="AY12" i="9" s="1"/>
  <c r="BB12" i="9" s="1"/>
  <c r="BE12" i="9" s="1"/>
  <c r="BH12" i="9" s="1"/>
  <c r="BK12" i="9" s="1"/>
  <c r="BN12" i="9" s="1"/>
  <c r="BQ12" i="9" s="1"/>
  <c r="AP12" i="9"/>
  <c r="AM14" i="9"/>
  <c r="AP14" i="9" s="1"/>
  <c r="AS14" i="9" s="1"/>
  <c r="AV14" i="9" s="1"/>
  <c r="AY14" i="9" s="1"/>
  <c r="BB14" i="9" s="1"/>
  <c r="BE14" i="9" s="1"/>
  <c r="BH14" i="9" s="1"/>
  <c r="BK14" i="9" s="1"/>
  <c r="BN14" i="9" s="1"/>
  <c r="BQ14" i="9" s="1"/>
  <c r="AM12" i="9"/>
  <c r="AH14" i="9"/>
  <c r="AE14" i="9"/>
  <c r="AB14" i="9"/>
  <c r="Y14" i="9"/>
  <c r="V14" i="9"/>
  <c r="S14" i="9"/>
  <c r="P14" i="9"/>
  <c r="M14" i="9"/>
  <c r="J14" i="9"/>
  <c r="G14" i="9"/>
  <c r="D14" i="9"/>
  <c r="AH15" i="9"/>
  <c r="AE15" i="9"/>
  <c r="AB15" i="9"/>
  <c r="Y15" i="9"/>
  <c r="V15" i="9"/>
  <c r="S15" i="9"/>
  <c r="P15" i="9"/>
  <c r="M15" i="9"/>
  <c r="J15" i="9"/>
  <c r="G15" i="9"/>
  <c r="D15" i="9"/>
  <c r="AH28" i="9"/>
  <c r="AE28" i="9"/>
  <c r="AB28" i="9"/>
  <c r="Y28" i="9"/>
  <c r="V28" i="9"/>
  <c r="S28" i="9"/>
  <c r="P28" i="9"/>
  <c r="M28" i="9"/>
  <c r="J28" i="9"/>
  <c r="G28" i="9"/>
  <c r="D28" i="9"/>
  <c r="BU27" i="9"/>
  <c r="AL27" i="9"/>
  <c r="P17" i="9"/>
  <c r="M17" i="9"/>
  <c r="J17" i="9"/>
  <c r="P16" i="9"/>
  <c r="M16" i="9"/>
  <c r="M20" i="9" s="1"/>
  <c r="J16" i="9"/>
  <c r="G17" i="9"/>
  <c r="G16" i="9"/>
  <c r="G20" i="9" s="1"/>
  <c r="D17" i="9"/>
  <c r="D16" i="9"/>
  <c r="D20" i="9" s="1"/>
  <c r="AH13" i="9"/>
  <c r="AE13" i="9"/>
  <c r="AB13" i="9"/>
  <c r="Y13" i="9"/>
  <c r="V13" i="9"/>
  <c r="S13" i="9"/>
  <c r="P13" i="9"/>
  <c r="M13" i="9"/>
  <c r="J13" i="9"/>
  <c r="G13" i="9"/>
  <c r="D13" i="9"/>
  <c r="AK12" i="9"/>
  <c r="AH12" i="9"/>
  <c r="AE12" i="9"/>
  <c r="AB12" i="9"/>
  <c r="Y12" i="9"/>
  <c r="V12" i="9"/>
  <c r="S12" i="9"/>
  <c r="P12" i="9"/>
  <c r="M12" i="9"/>
  <c r="J12" i="9"/>
  <c r="G12" i="9"/>
  <c r="D12" i="9"/>
  <c r="C16" i="9"/>
  <c r="C17" i="9"/>
  <c r="AJ17" i="7"/>
  <c r="AG17" i="7"/>
  <c r="AD17" i="7"/>
  <c r="AA17" i="7"/>
  <c r="X17" i="7"/>
  <c r="U17" i="7"/>
  <c r="R17" i="7"/>
  <c r="O17" i="7"/>
  <c r="L17" i="7"/>
  <c r="I17" i="7"/>
  <c r="F17" i="7"/>
  <c r="C17" i="7"/>
  <c r="AJ14" i="7"/>
  <c r="AG14" i="7"/>
  <c r="AD14" i="7"/>
  <c r="AA14" i="7"/>
  <c r="X14" i="7"/>
  <c r="U14" i="7"/>
  <c r="R14" i="7"/>
  <c r="O14" i="7"/>
  <c r="L14" i="7"/>
  <c r="I14" i="7"/>
  <c r="F14" i="7"/>
  <c r="C14" i="7"/>
  <c r="AJ13" i="7"/>
  <c r="AG13" i="7"/>
  <c r="AD13" i="7"/>
  <c r="AA13" i="7"/>
  <c r="X13" i="7"/>
  <c r="U13" i="7"/>
  <c r="R13" i="7"/>
  <c r="O13" i="7"/>
  <c r="L13" i="7"/>
  <c r="I13" i="7"/>
  <c r="F13" i="7"/>
  <c r="C13" i="7"/>
  <c r="B15" i="7"/>
  <c r="V15" i="5" l="1"/>
  <c r="T15" i="5"/>
  <c r="J20" i="9"/>
  <c r="P20" i="9"/>
  <c r="T14" i="5"/>
  <c r="S14" i="4" s="1"/>
  <c r="V14" i="5"/>
  <c r="V13" i="5"/>
  <c r="T13" i="5"/>
  <c r="S17" i="9" s="1"/>
  <c r="T5" i="5"/>
  <c r="S16" i="9" s="1"/>
  <c r="S20" i="9" s="1"/>
  <c r="V5" i="5"/>
  <c r="T6" i="5"/>
  <c r="S13" i="4" s="1"/>
  <c r="V6" i="5"/>
  <c r="T7" i="5"/>
  <c r="V7" i="5"/>
  <c r="T8" i="5"/>
  <c r="V8" i="5"/>
  <c r="BU13" i="9"/>
  <c r="AL14" i="9"/>
  <c r="BU14" i="9"/>
  <c r="AL13" i="9"/>
  <c r="AG9" i="6"/>
  <c r="AD9" i="6"/>
  <c r="AA9" i="6"/>
  <c r="X9" i="6"/>
  <c r="U9" i="6"/>
  <c r="R9" i="6"/>
  <c r="O9" i="6"/>
  <c r="L9" i="6"/>
  <c r="I9" i="6"/>
  <c r="F9" i="6"/>
  <c r="C9" i="6"/>
  <c r="AJ19" i="6"/>
  <c r="AG19" i="6"/>
  <c r="AD19" i="6"/>
  <c r="AA19" i="6"/>
  <c r="X19" i="6"/>
  <c r="U19" i="6"/>
  <c r="R19" i="6"/>
  <c r="O19" i="6"/>
  <c r="L19" i="6"/>
  <c r="I19" i="6"/>
  <c r="F19" i="6"/>
  <c r="C19" i="6"/>
  <c r="AJ54" i="6"/>
  <c r="AJ52" i="6"/>
  <c r="AJ50" i="6"/>
  <c r="AJ49" i="6"/>
  <c r="AJ48" i="6"/>
  <c r="AJ47" i="6"/>
  <c r="AJ45" i="6"/>
  <c r="AJ44" i="6"/>
  <c r="AG56" i="6"/>
  <c r="AD56" i="6"/>
  <c r="AA56" i="6"/>
  <c r="X56" i="6"/>
  <c r="U56" i="6"/>
  <c r="R56" i="6"/>
  <c r="O56" i="6"/>
  <c r="L56" i="6"/>
  <c r="B18" i="6"/>
  <c r="B17" i="6"/>
  <c r="Y13" i="5" l="1"/>
  <c r="W13" i="5"/>
  <c r="V17" i="9" s="1"/>
  <c r="Y15" i="5"/>
  <c r="W15" i="5"/>
  <c r="W14" i="5"/>
  <c r="V14" i="4" s="1"/>
  <c r="Y14" i="5"/>
  <c r="W7" i="5"/>
  <c r="Y7" i="5"/>
  <c r="W6" i="5"/>
  <c r="V13" i="4" s="1"/>
  <c r="Y6" i="5"/>
  <c r="W5" i="5"/>
  <c r="V16" i="9" s="1"/>
  <c r="Y5" i="5"/>
  <c r="Y8" i="5"/>
  <c r="W8" i="5"/>
  <c r="AJ56" i="6"/>
  <c r="G24" i="5"/>
  <c r="J24" i="5" s="1"/>
  <c r="M24" i="5" s="1"/>
  <c r="P24" i="5" s="1"/>
  <c r="S24" i="5" s="1"/>
  <c r="V24" i="5" s="1"/>
  <c r="Y24" i="5" s="1"/>
  <c r="AB24" i="5" s="1"/>
  <c r="AE24" i="5" s="1"/>
  <c r="AH24" i="5" s="1"/>
  <c r="AK24" i="5" s="1"/>
  <c r="G23" i="5"/>
  <c r="G8" i="5"/>
  <c r="G7" i="5"/>
  <c r="G6" i="5"/>
  <c r="G5" i="5"/>
  <c r="G15" i="5"/>
  <c r="G14" i="5"/>
  <c r="G13" i="5"/>
  <c r="Q13" i="1"/>
  <c r="F43" i="8"/>
  <c r="F36" i="8"/>
  <c r="F47" i="8"/>
  <c r="C14" i="3"/>
  <c r="C13" i="3"/>
  <c r="BT32" i="9"/>
  <c r="BN32" i="9"/>
  <c r="BB32" i="9"/>
  <c r="AY32" i="9"/>
  <c r="AV32" i="9"/>
  <c r="AS32" i="9"/>
  <c r="AP32" i="9"/>
  <c r="AM32" i="9"/>
  <c r="AK32" i="9"/>
  <c r="AE32" i="9"/>
  <c r="S32" i="9"/>
  <c r="P32" i="9"/>
  <c r="M32" i="9"/>
  <c r="J32" i="9"/>
  <c r="G32" i="9"/>
  <c r="D32" i="9"/>
  <c r="BH31" i="9"/>
  <c r="BK31" i="9" s="1"/>
  <c r="BK32" i="9" s="1"/>
  <c r="BE31" i="9"/>
  <c r="BE32" i="9" s="1"/>
  <c r="V31" i="9"/>
  <c r="BT28" i="9"/>
  <c r="AS28" i="9"/>
  <c r="AP28" i="9"/>
  <c r="AM28" i="9"/>
  <c r="AK28" i="9"/>
  <c r="AY26" i="9"/>
  <c r="AY28" i="9" s="1"/>
  <c r="AV26" i="9"/>
  <c r="AV28" i="9" s="1"/>
  <c r="M26" i="9"/>
  <c r="BT20" i="9"/>
  <c r="BT19" i="9"/>
  <c r="BT22" i="9" s="1"/>
  <c r="BR19" i="9"/>
  <c r="BO19" i="9"/>
  <c r="BL19" i="9"/>
  <c r="BI19" i="9"/>
  <c r="BF19" i="9"/>
  <c r="BC19" i="9"/>
  <c r="AZ19" i="9"/>
  <c r="AW19" i="9"/>
  <c r="AT19" i="9"/>
  <c r="AQ19" i="9"/>
  <c r="AN19" i="9"/>
  <c r="AI19" i="9"/>
  <c r="AF19" i="9"/>
  <c r="AC19" i="9"/>
  <c r="Z19" i="9"/>
  <c r="W19" i="9"/>
  <c r="T19" i="9"/>
  <c r="Q19" i="9"/>
  <c r="N19" i="9"/>
  <c r="K19" i="9"/>
  <c r="H19" i="9"/>
  <c r="E19" i="9"/>
  <c r="BQ19" i="9"/>
  <c r="BN19" i="9"/>
  <c r="BK19" i="9"/>
  <c r="BH19" i="9"/>
  <c r="BB19" i="9"/>
  <c r="AV19" i="9"/>
  <c r="AK19" i="9"/>
  <c r="AE19" i="9"/>
  <c r="Y19" i="9"/>
  <c r="S19" i="9"/>
  <c r="M19" i="9"/>
  <c r="G19" i="9"/>
  <c r="AL12" i="9"/>
  <c r="AM7" i="9"/>
  <c r="BU7" i="9" s="1"/>
  <c r="AL7" i="9"/>
  <c r="G13" i="8"/>
  <c r="G21" i="8"/>
  <c r="G23" i="8"/>
  <c r="G34" i="8"/>
  <c r="G35" i="8"/>
  <c r="G39" i="8"/>
  <c r="G40" i="8"/>
  <c r="G41" i="8"/>
  <c r="G42" i="8"/>
  <c r="G46" i="8"/>
  <c r="Z15" i="5" l="1"/>
  <c r="AB15" i="5"/>
  <c r="AB13" i="5"/>
  <c r="Z13" i="5"/>
  <c r="Y17" i="9" s="1"/>
  <c r="Z14" i="5"/>
  <c r="Y14" i="4" s="1"/>
  <c r="AB14" i="5"/>
  <c r="Z8" i="5"/>
  <c r="AB8" i="5"/>
  <c r="V20" i="9"/>
  <c r="V22" i="9" s="1"/>
  <c r="V23" i="9" s="1"/>
  <c r="Z5" i="5"/>
  <c r="Y16" i="9" s="1"/>
  <c r="Y20" i="9" s="1"/>
  <c r="AB5" i="5"/>
  <c r="Z6" i="5"/>
  <c r="Y13" i="4" s="1"/>
  <c r="AB6" i="5"/>
  <c r="Z7" i="5"/>
  <c r="AB7" i="5"/>
  <c r="J19" i="9"/>
  <c r="P19" i="9"/>
  <c r="V19" i="9"/>
  <c r="AB19" i="9"/>
  <c r="AH19" i="9"/>
  <c r="AM19" i="9"/>
  <c r="AS19" i="9"/>
  <c r="AY19" i="9"/>
  <c r="BE19" i="9"/>
  <c r="BU12" i="9"/>
  <c r="AL15" i="9"/>
  <c r="BU15" i="9"/>
  <c r="J23" i="5"/>
  <c r="M23" i="5" s="1"/>
  <c r="P23" i="5" s="1"/>
  <c r="S23" i="5" s="1"/>
  <c r="V23" i="5" s="1"/>
  <c r="Y23" i="5" s="1"/>
  <c r="AB23" i="5" s="1"/>
  <c r="AE23" i="5" s="1"/>
  <c r="AH23" i="5" s="1"/>
  <c r="AK23" i="5" s="1"/>
  <c r="P22" i="9"/>
  <c r="P23" i="9" s="1"/>
  <c r="G22" i="9"/>
  <c r="G23" i="9" s="1"/>
  <c r="G34" i="9" s="1"/>
  <c r="M22" i="9"/>
  <c r="M23" i="9" s="1"/>
  <c r="M34" i="9" s="1"/>
  <c r="S22" i="9"/>
  <c r="S23" i="9" s="1"/>
  <c r="Y22" i="9"/>
  <c r="Y23" i="9" s="1"/>
  <c r="D19" i="9"/>
  <c r="AP19" i="9"/>
  <c r="BT23" i="9"/>
  <c r="BT34" i="9"/>
  <c r="BQ32" i="9"/>
  <c r="V32" i="9"/>
  <c r="BH32" i="9"/>
  <c r="P26" i="9"/>
  <c r="BB26" i="9"/>
  <c r="Y31" i="9"/>
  <c r="BU31" i="9"/>
  <c r="BU32" i="9"/>
  <c r="E43" i="8"/>
  <c r="D43" i="8"/>
  <c r="C43" i="8"/>
  <c r="B43" i="8"/>
  <c r="E36" i="8"/>
  <c r="D36" i="8"/>
  <c r="G32" i="8"/>
  <c r="G25" i="8"/>
  <c r="G19" i="8"/>
  <c r="G10" i="8"/>
  <c r="D11" i="8"/>
  <c r="G8" i="8"/>
  <c r="E47" i="8"/>
  <c r="D47" i="8"/>
  <c r="C47" i="8"/>
  <c r="AJ28" i="7"/>
  <c r="AG28" i="7"/>
  <c r="AD28" i="7"/>
  <c r="AA28" i="7"/>
  <c r="X28" i="7"/>
  <c r="U28" i="7"/>
  <c r="R28" i="7"/>
  <c r="O28" i="7"/>
  <c r="L28" i="7"/>
  <c r="I28" i="7"/>
  <c r="F28" i="7"/>
  <c r="C28" i="7"/>
  <c r="AK27" i="7"/>
  <c r="AJ24" i="7"/>
  <c r="AG24" i="7"/>
  <c r="AD24" i="7"/>
  <c r="AA24" i="7"/>
  <c r="X24" i="7"/>
  <c r="U24" i="7"/>
  <c r="R24" i="7"/>
  <c r="O24" i="7"/>
  <c r="L24" i="7"/>
  <c r="I24" i="7"/>
  <c r="F24" i="7"/>
  <c r="C24" i="7"/>
  <c r="AK23" i="7"/>
  <c r="AJ18" i="7"/>
  <c r="AG18" i="7"/>
  <c r="AD18" i="7"/>
  <c r="AA18" i="7"/>
  <c r="X18" i="7"/>
  <c r="U18" i="7"/>
  <c r="R18" i="7"/>
  <c r="O18" i="7"/>
  <c r="L18" i="7"/>
  <c r="I18" i="7"/>
  <c r="F18" i="7"/>
  <c r="C18" i="7"/>
  <c r="AJ6" i="7"/>
  <c r="AJ7" i="7" s="1"/>
  <c r="AG6" i="7"/>
  <c r="AG7" i="7" s="1"/>
  <c r="AD6" i="7"/>
  <c r="AD7" i="7" s="1"/>
  <c r="AA6" i="7"/>
  <c r="AA7" i="7" s="1"/>
  <c r="X6" i="7"/>
  <c r="X7" i="7" s="1"/>
  <c r="U6" i="7"/>
  <c r="U7" i="7" s="1"/>
  <c r="R6" i="7"/>
  <c r="R7" i="7" s="1"/>
  <c r="O6" i="7"/>
  <c r="O7" i="7" s="1"/>
  <c r="L6" i="7"/>
  <c r="L7" i="7" s="1"/>
  <c r="I6" i="7"/>
  <c r="I7" i="7" s="1"/>
  <c r="F6" i="7"/>
  <c r="F7" i="7" s="1"/>
  <c r="C6" i="7"/>
  <c r="C7" i="7" s="1"/>
  <c r="I56" i="6"/>
  <c r="C56" i="6"/>
  <c r="AG41" i="6"/>
  <c r="AD41" i="6"/>
  <c r="AA41" i="6"/>
  <c r="X41" i="6"/>
  <c r="U38" i="6"/>
  <c r="R38" i="6"/>
  <c r="O38" i="6"/>
  <c r="L38" i="6"/>
  <c r="I38" i="6"/>
  <c r="F38" i="6"/>
  <c r="C38" i="6"/>
  <c r="AK36" i="6"/>
  <c r="X35" i="6"/>
  <c r="X34" i="6"/>
  <c r="X10" i="6"/>
  <c r="U10" i="6"/>
  <c r="R10" i="6"/>
  <c r="O10" i="6"/>
  <c r="L10" i="6"/>
  <c r="I10" i="6"/>
  <c r="F10" i="6"/>
  <c r="C7" i="6"/>
  <c r="AA6" i="6"/>
  <c r="AA10" i="6" s="1"/>
  <c r="C6" i="6"/>
  <c r="P28" i="5"/>
  <c r="M28" i="5"/>
  <c r="J28" i="5"/>
  <c r="G28" i="5"/>
  <c r="D28" i="5"/>
  <c r="AO26" i="5"/>
  <c r="S28" i="5"/>
  <c r="B22" i="5"/>
  <c r="AJ22" i="5" s="1"/>
  <c r="G17" i="5"/>
  <c r="D17" i="5"/>
  <c r="B12" i="5"/>
  <c r="G10" i="5"/>
  <c r="D10" i="5"/>
  <c r="J10" i="5"/>
  <c r="B4" i="5"/>
  <c r="I1" i="5"/>
  <c r="L1" i="5" s="1"/>
  <c r="O1" i="5" s="1"/>
  <c r="R1" i="5" s="1"/>
  <c r="U1" i="5" s="1"/>
  <c r="X1" i="5" s="1"/>
  <c r="AA1" i="5" s="1"/>
  <c r="AD1" i="5" s="1"/>
  <c r="AG1" i="5" s="1"/>
  <c r="AJ1" i="5" s="1"/>
  <c r="AM1" i="5" s="1"/>
  <c r="AE28" i="4"/>
  <c r="S28" i="4"/>
  <c r="P28" i="4"/>
  <c r="M28" i="4"/>
  <c r="J28" i="4"/>
  <c r="G28" i="4"/>
  <c r="D28" i="4"/>
  <c r="V27" i="4"/>
  <c r="V28" i="4" s="1"/>
  <c r="J24" i="4"/>
  <c r="G24" i="4"/>
  <c r="D24" i="4"/>
  <c r="M23" i="4"/>
  <c r="M24" i="4" s="1"/>
  <c r="G17" i="4"/>
  <c r="D17" i="4"/>
  <c r="AI16" i="4"/>
  <c r="AF16" i="4"/>
  <c r="AC16" i="4"/>
  <c r="Z16" i="4"/>
  <c r="W16" i="4"/>
  <c r="T16" i="4"/>
  <c r="Q16" i="4"/>
  <c r="N16" i="4"/>
  <c r="K16" i="4"/>
  <c r="H16" i="4"/>
  <c r="E16" i="4"/>
  <c r="Y17" i="4"/>
  <c r="V17" i="4"/>
  <c r="S17" i="4"/>
  <c r="P17" i="4"/>
  <c r="M17" i="4"/>
  <c r="J17" i="4"/>
  <c r="AK16" i="4"/>
  <c r="AH16" i="4"/>
  <c r="AE16" i="4"/>
  <c r="AB16" i="4"/>
  <c r="Y16" i="4"/>
  <c r="V16" i="4"/>
  <c r="S16" i="4"/>
  <c r="P16" i="4"/>
  <c r="M16" i="4"/>
  <c r="J16" i="4"/>
  <c r="G16" i="4"/>
  <c r="D16" i="4"/>
  <c r="AL7" i="4"/>
  <c r="BT29" i="3"/>
  <c r="BN29" i="3"/>
  <c r="BK29" i="3"/>
  <c r="BH29" i="3"/>
  <c r="BE29" i="3"/>
  <c r="BB29" i="3"/>
  <c r="AY29" i="3"/>
  <c r="AV29" i="3"/>
  <c r="AS29" i="3"/>
  <c r="AP29" i="3"/>
  <c r="AM29" i="3"/>
  <c r="AK29" i="3"/>
  <c r="AE29" i="3"/>
  <c r="AB29" i="3"/>
  <c r="Y29" i="3"/>
  <c r="V29" i="3"/>
  <c r="S29" i="3"/>
  <c r="P29" i="3"/>
  <c r="M29" i="3"/>
  <c r="J29" i="3"/>
  <c r="G29" i="3"/>
  <c r="D29" i="3"/>
  <c r="BU28" i="3"/>
  <c r="AL28" i="3"/>
  <c r="BQ27" i="3"/>
  <c r="AH27" i="3"/>
  <c r="AL27" i="3" s="1"/>
  <c r="BQ24" i="3"/>
  <c r="BN24" i="3"/>
  <c r="BK24" i="3"/>
  <c r="BH24" i="3"/>
  <c r="BE24" i="3"/>
  <c r="BB24" i="3"/>
  <c r="AY24" i="3"/>
  <c r="AV24" i="3"/>
  <c r="AS24" i="3"/>
  <c r="AP24" i="3"/>
  <c r="AM24" i="3"/>
  <c r="AH24" i="3"/>
  <c r="AE24" i="3"/>
  <c r="AB24" i="3"/>
  <c r="Y24" i="3"/>
  <c r="V24" i="3"/>
  <c r="S24" i="3"/>
  <c r="P24" i="3"/>
  <c r="M24" i="3"/>
  <c r="J24" i="3"/>
  <c r="G24" i="3"/>
  <c r="D24" i="3"/>
  <c r="BU23" i="3"/>
  <c r="AM7" i="3"/>
  <c r="BU7" i="3" s="1"/>
  <c r="AL7" i="3"/>
  <c r="F9" i="8" s="1"/>
  <c r="F15" i="8" s="1"/>
  <c r="AC14" i="5" l="1"/>
  <c r="AB14" i="4" s="1"/>
  <c r="AE14" i="5"/>
  <c r="AE15" i="5"/>
  <c r="AC15" i="5"/>
  <c r="AE13" i="5"/>
  <c r="AC13" i="5"/>
  <c r="AB17" i="9" s="1"/>
  <c r="AC7" i="5"/>
  <c r="AE7" i="5"/>
  <c r="AC6" i="5"/>
  <c r="AB13" i="4" s="1"/>
  <c r="AB17" i="4" s="1"/>
  <c r="AE6" i="5"/>
  <c r="AC5" i="5"/>
  <c r="AB16" i="9" s="1"/>
  <c r="AB20" i="9" s="1"/>
  <c r="AB22" i="9" s="1"/>
  <c r="AB23" i="9" s="1"/>
  <c r="AE5" i="5"/>
  <c r="AC8" i="5"/>
  <c r="AE8" i="5"/>
  <c r="F11" i="8"/>
  <c r="F12" i="8" s="1"/>
  <c r="E15" i="8"/>
  <c r="E11" i="8"/>
  <c r="G11" i="8" s="1"/>
  <c r="Y27" i="4"/>
  <c r="Y28" i="4" s="1"/>
  <c r="AK24" i="7"/>
  <c r="P23" i="4"/>
  <c r="S23" i="4" s="1"/>
  <c r="AK28" i="7"/>
  <c r="G43" i="8"/>
  <c r="AJ7" i="6"/>
  <c r="AK7" i="6" s="1"/>
  <c r="AJ35" i="6"/>
  <c r="AK37" i="6"/>
  <c r="AJ28" i="6"/>
  <c r="AJ29" i="6"/>
  <c r="AK30" i="6"/>
  <c r="AJ32" i="6"/>
  <c r="AK32" i="6" s="1"/>
  <c r="AK34" i="6"/>
  <c r="X38" i="6"/>
  <c r="AD38" i="6"/>
  <c r="AA38" i="6"/>
  <c r="AG38" i="6"/>
  <c r="AK46" i="6"/>
  <c r="AK48" i="6"/>
  <c r="AK50" i="6"/>
  <c r="AK52" i="6"/>
  <c r="AK54" i="6"/>
  <c r="AD6" i="6"/>
  <c r="AD10" i="6" s="1"/>
  <c r="AK29" i="6"/>
  <c r="AK31" i="6"/>
  <c r="AK33" i="6"/>
  <c r="AK35" i="6"/>
  <c r="AK41" i="6"/>
  <c r="B24" i="8" s="1"/>
  <c r="G24" i="8" s="1"/>
  <c r="AK45" i="6"/>
  <c r="AK47" i="6"/>
  <c r="AK49" i="6"/>
  <c r="AK51" i="6"/>
  <c r="AK53" i="6"/>
  <c r="AK55" i="6"/>
  <c r="AJ4" i="5"/>
  <c r="B13" i="3"/>
  <c r="AM12" i="5"/>
  <c r="B14" i="3"/>
  <c r="B47" i="8"/>
  <c r="G47" i="8" s="1"/>
  <c r="G5" i="8"/>
  <c r="D15" i="8"/>
  <c r="G9" i="8"/>
  <c r="G18" i="8"/>
  <c r="BB28" i="9"/>
  <c r="BE26" i="9"/>
  <c r="S26" i="9"/>
  <c r="D22" i="9"/>
  <c r="D23" i="9" s="1"/>
  <c r="AL19" i="9"/>
  <c r="J22" i="9"/>
  <c r="J23" i="9" s="1"/>
  <c r="J34" i="9" s="1"/>
  <c r="Y32" i="9"/>
  <c r="AB31" i="9"/>
  <c r="AB32" i="9" s="1"/>
  <c r="AL31" i="9"/>
  <c r="AH32" i="9"/>
  <c r="BU19" i="9"/>
  <c r="AK18" i="7"/>
  <c r="C10" i="6"/>
  <c r="C28" i="8"/>
  <c r="C15" i="8"/>
  <c r="E12" i="8"/>
  <c r="B36" i="8"/>
  <c r="C19" i="7"/>
  <c r="AK17" i="7"/>
  <c r="I19" i="7"/>
  <c r="I20" i="7" s="1"/>
  <c r="I30" i="7" s="1"/>
  <c r="O19" i="7"/>
  <c r="O20" i="7" s="1"/>
  <c r="O30" i="7" s="1"/>
  <c r="U19" i="7"/>
  <c r="U20" i="7" s="1"/>
  <c r="U30" i="7" s="1"/>
  <c r="AA19" i="7"/>
  <c r="AA20" i="7" s="1"/>
  <c r="AA30" i="7" s="1"/>
  <c r="AG19" i="7"/>
  <c r="AG20" i="7" s="1"/>
  <c r="AG30" i="7" s="1"/>
  <c r="AK7" i="7"/>
  <c r="F19" i="7"/>
  <c r="F20" i="7" s="1"/>
  <c r="F30" i="7" s="1"/>
  <c r="L19" i="7"/>
  <c r="L20" i="7" s="1"/>
  <c r="L30" i="7" s="1"/>
  <c r="R19" i="7"/>
  <c r="R20" i="7" s="1"/>
  <c r="R30" i="7" s="1"/>
  <c r="X19" i="7"/>
  <c r="X20" i="7" s="1"/>
  <c r="X30" i="7" s="1"/>
  <c r="AD19" i="7"/>
  <c r="AD20" i="7" s="1"/>
  <c r="AD30" i="7" s="1"/>
  <c r="AJ19" i="7"/>
  <c r="AJ20" i="7" s="1"/>
  <c r="AJ30" i="7" s="1"/>
  <c r="AK6" i="7"/>
  <c r="AK13" i="7"/>
  <c r="AK15" i="7"/>
  <c r="AP23" i="5" s="1"/>
  <c r="F56" i="6"/>
  <c r="AK19" i="6"/>
  <c r="AK28" i="6"/>
  <c r="AK44" i="6"/>
  <c r="F12" i="5"/>
  <c r="AD12" i="5"/>
  <c r="R12" i="5"/>
  <c r="L12" i="5"/>
  <c r="X12" i="5"/>
  <c r="AJ12" i="5"/>
  <c r="M10" i="5"/>
  <c r="I4" i="5"/>
  <c r="O4" i="5"/>
  <c r="U4" i="5"/>
  <c r="AA4" i="5"/>
  <c r="AG4" i="5"/>
  <c r="AM4" i="5"/>
  <c r="F4" i="5"/>
  <c r="L4" i="5"/>
  <c r="R4" i="5"/>
  <c r="X4" i="5"/>
  <c r="AD4" i="5"/>
  <c r="M17" i="5"/>
  <c r="I12" i="5"/>
  <c r="O12" i="5"/>
  <c r="U12" i="5"/>
  <c r="AA12" i="5"/>
  <c r="AG12" i="5"/>
  <c r="J17" i="5"/>
  <c r="I22" i="5"/>
  <c r="O22" i="5"/>
  <c r="U22" i="5"/>
  <c r="AA22" i="5"/>
  <c r="AG22" i="5"/>
  <c r="AM22" i="5"/>
  <c r="V28" i="5"/>
  <c r="F22" i="5"/>
  <c r="L22" i="5"/>
  <c r="R22" i="5"/>
  <c r="X22" i="5"/>
  <c r="AD22" i="5"/>
  <c r="D19" i="4"/>
  <c r="D20" i="4" s="1"/>
  <c r="D30" i="4" s="1"/>
  <c r="AL16" i="4"/>
  <c r="J19" i="4"/>
  <c r="J20" i="4" s="1"/>
  <c r="J30" i="4" s="1"/>
  <c r="P19" i="4"/>
  <c r="P20" i="4" s="1"/>
  <c r="V19" i="4"/>
  <c r="V20" i="4" s="1"/>
  <c r="AB19" i="4"/>
  <c r="AB20" i="4" s="1"/>
  <c r="G19" i="4"/>
  <c r="G20" i="4" s="1"/>
  <c r="G30" i="4" s="1"/>
  <c r="M19" i="4"/>
  <c r="M20" i="4" s="1"/>
  <c r="M30" i="4" s="1"/>
  <c r="S19" i="4"/>
  <c r="S20" i="4" s="1"/>
  <c r="Y19" i="4"/>
  <c r="Y20" i="4" s="1"/>
  <c r="AL12" i="4"/>
  <c r="P24" i="4"/>
  <c r="AK24" i="3"/>
  <c r="AL24" i="3" s="1"/>
  <c r="AL23" i="3"/>
  <c r="AH29" i="3"/>
  <c r="AL29" i="3" s="1"/>
  <c r="BT24" i="3"/>
  <c r="BQ29" i="3"/>
  <c r="BU29" i="3" s="1"/>
  <c r="BU27" i="3"/>
  <c r="AH13" i="5" l="1"/>
  <c r="AF13" i="5"/>
  <c r="AE17" i="9" s="1"/>
  <c r="AH15" i="5"/>
  <c r="AF15" i="5"/>
  <c r="AF14" i="5"/>
  <c r="AE14" i="4" s="1"/>
  <c r="AH14" i="5"/>
  <c r="AH8" i="5"/>
  <c r="AF8" i="5"/>
  <c r="AF5" i="5"/>
  <c r="AE16" i="9" s="1"/>
  <c r="AH5" i="5"/>
  <c r="AF6" i="5"/>
  <c r="AE13" i="4" s="1"/>
  <c r="AH6" i="5"/>
  <c r="AF7" i="5"/>
  <c r="AH7" i="5"/>
  <c r="G12" i="8"/>
  <c r="AB27" i="4"/>
  <c r="AB28" i="4" s="1"/>
  <c r="AL32" i="9"/>
  <c r="D12" i="8"/>
  <c r="AJ8" i="6"/>
  <c r="O17" i="6"/>
  <c r="AJ38" i="6"/>
  <c r="AK38" i="6" s="1"/>
  <c r="H24" i="5"/>
  <c r="F18" i="6" s="1"/>
  <c r="H23" i="5"/>
  <c r="E8" i="5"/>
  <c r="C17" i="6" s="1"/>
  <c r="E14" i="5"/>
  <c r="E15" i="5"/>
  <c r="D14" i="3" s="1"/>
  <c r="E13" i="5"/>
  <c r="R17" i="6"/>
  <c r="L17" i="6"/>
  <c r="H8" i="5"/>
  <c r="F17" i="6" s="1"/>
  <c r="F23" i="6" s="1"/>
  <c r="H13" i="5"/>
  <c r="H15" i="5"/>
  <c r="H14" i="5"/>
  <c r="I17" i="6"/>
  <c r="J14" i="3"/>
  <c r="P17" i="5"/>
  <c r="AG6" i="6"/>
  <c r="AJ6" i="6" s="1"/>
  <c r="S13" i="3"/>
  <c r="S18" i="3" s="1"/>
  <c r="S34" i="9"/>
  <c r="V26" i="9"/>
  <c r="BE28" i="9"/>
  <c r="BH26" i="9"/>
  <c r="D34" i="9"/>
  <c r="P34" i="9"/>
  <c r="C29" i="8"/>
  <c r="H47" i="8"/>
  <c r="AK19" i="7"/>
  <c r="C20" i="7"/>
  <c r="AK56" i="6"/>
  <c r="P14" i="3"/>
  <c r="M14" i="3"/>
  <c r="G14" i="3"/>
  <c r="S14" i="3"/>
  <c r="P10" i="5"/>
  <c r="W23" i="5"/>
  <c r="K24" i="5"/>
  <c r="I18" i="6" s="1"/>
  <c r="K23" i="5"/>
  <c r="W24" i="5"/>
  <c r="U18" i="6" s="1"/>
  <c r="AL23" i="5"/>
  <c r="AL24" i="5"/>
  <c r="AJ18" i="6" s="1"/>
  <c r="N24" i="5"/>
  <c r="L18" i="6" s="1"/>
  <c r="N23" i="5"/>
  <c r="Z23" i="5"/>
  <c r="J13" i="3"/>
  <c r="J18" i="3" s="1"/>
  <c r="M13" i="3"/>
  <c r="M18" i="3" s="1"/>
  <c r="Q24" i="5"/>
  <c r="O18" i="6" s="1"/>
  <c r="Q23" i="5"/>
  <c r="E24" i="5"/>
  <c r="C18" i="6" s="1"/>
  <c r="E23" i="5"/>
  <c r="T24" i="5"/>
  <c r="R18" i="6" s="1"/>
  <c r="T23" i="5"/>
  <c r="AC23" i="5"/>
  <c r="E7" i="5"/>
  <c r="D13" i="3" s="1"/>
  <c r="E6" i="5"/>
  <c r="E5" i="5"/>
  <c r="H7" i="5"/>
  <c r="G13" i="3" s="1"/>
  <c r="H6" i="5"/>
  <c r="H5" i="5"/>
  <c r="P13" i="3"/>
  <c r="S10" i="5"/>
  <c r="S24" i="4"/>
  <c r="S30" i="4" s="1"/>
  <c r="V23" i="4"/>
  <c r="P30" i="4"/>
  <c r="D32" i="4"/>
  <c r="G3" i="4" s="1"/>
  <c r="G32" i="4" s="1"/>
  <c r="J3" i="4" s="1"/>
  <c r="J32" i="4" s="1"/>
  <c r="M3" i="4" s="1"/>
  <c r="M32" i="4" s="1"/>
  <c r="P3" i="4" s="1"/>
  <c r="BU24" i="3"/>
  <c r="P18" i="3" l="1"/>
  <c r="AK15" i="5"/>
  <c r="AL15" i="5" s="1"/>
  <c r="AI15" i="5"/>
  <c r="AK13" i="5"/>
  <c r="AL13" i="5" s="1"/>
  <c r="AK17" i="9" s="1"/>
  <c r="AM17" i="9" s="1"/>
  <c r="AI13" i="5"/>
  <c r="AH17" i="9" s="1"/>
  <c r="AI14" i="5"/>
  <c r="AH14" i="4" s="1"/>
  <c r="AK14" i="5"/>
  <c r="AL14" i="5" s="1"/>
  <c r="AK14" i="4" s="1"/>
  <c r="AL14" i="4" s="1"/>
  <c r="AP14" i="5" s="1"/>
  <c r="AL17" i="9"/>
  <c r="AP13" i="5" s="1"/>
  <c r="AE17" i="4"/>
  <c r="AI7" i="5"/>
  <c r="AK7" i="5"/>
  <c r="AL7" i="5" s="1"/>
  <c r="AI6" i="5"/>
  <c r="AH13" i="4" s="1"/>
  <c r="AH17" i="4" s="1"/>
  <c r="AH19" i="4" s="1"/>
  <c r="AH20" i="4" s="1"/>
  <c r="AK6" i="5"/>
  <c r="AL6" i="5" s="1"/>
  <c r="AK13" i="4" s="1"/>
  <c r="AK17" i="4" s="1"/>
  <c r="AK19" i="4" s="1"/>
  <c r="AK20" i="4" s="1"/>
  <c r="AK30" i="4" s="1"/>
  <c r="AI5" i="5"/>
  <c r="AH16" i="9" s="1"/>
  <c r="AH20" i="9" s="1"/>
  <c r="AH22" i="9" s="1"/>
  <c r="AH23" i="9" s="1"/>
  <c r="AK5" i="5"/>
  <c r="AL5" i="5" s="1"/>
  <c r="AK16" i="9" s="1"/>
  <c r="AE20" i="9"/>
  <c r="AL16" i="9"/>
  <c r="AP5" i="5" s="1"/>
  <c r="AI8" i="5"/>
  <c r="AK8" i="5"/>
  <c r="AL8" i="5" s="1"/>
  <c r="B26" i="8"/>
  <c r="G26" i="8" s="1"/>
  <c r="H26" i="8"/>
  <c r="H27" i="8"/>
  <c r="B27" i="8"/>
  <c r="P32" i="4"/>
  <c r="S3" i="4" s="1"/>
  <c r="S32" i="4" s="1"/>
  <c r="V3" i="4" s="1"/>
  <c r="AL27" i="4"/>
  <c r="L23" i="6"/>
  <c r="R23" i="6"/>
  <c r="O23" i="6"/>
  <c r="AJ9" i="6"/>
  <c r="AK9" i="6" s="1"/>
  <c r="B12" i="8" s="1"/>
  <c r="AK8" i="6"/>
  <c r="B11" i="8" s="1"/>
  <c r="C36" i="8"/>
  <c r="G36" i="8" s="1"/>
  <c r="G33" i="8"/>
  <c r="H36" i="8" s="1"/>
  <c r="I23" i="6"/>
  <c r="AG10" i="6"/>
  <c r="C23" i="6"/>
  <c r="U17" i="6"/>
  <c r="U23" i="6" s="1"/>
  <c r="V13" i="3"/>
  <c r="V14" i="3"/>
  <c r="D36" i="9"/>
  <c r="G3" i="9" s="1"/>
  <c r="G36" i="9" s="1"/>
  <c r="J3" i="9" s="1"/>
  <c r="J36" i="9" s="1"/>
  <c r="M3" i="9" s="1"/>
  <c r="M36" i="9" s="1"/>
  <c r="P3" i="9" s="1"/>
  <c r="P36" i="9" s="1"/>
  <c r="S3" i="9" s="1"/>
  <c r="S36" i="9" s="1"/>
  <c r="V3" i="9" s="1"/>
  <c r="BH28" i="9"/>
  <c r="BK26" i="9"/>
  <c r="Y26" i="9"/>
  <c r="C45" i="8"/>
  <c r="C48" i="8" s="1"/>
  <c r="H12" i="8"/>
  <c r="AK20" i="7"/>
  <c r="C30" i="7"/>
  <c r="AJ10" i="6"/>
  <c r="AK10" i="6" s="1"/>
  <c r="AK6" i="6"/>
  <c r="Z24" i="5"/>
  <c r="X18" i="6" s="1"/>
  <c r="Y28" i="5"/>
  <c r="AF23" i="5"/>
  <c r="V24" i="4"/>
  <c r="V30" i="4" s="1"/>
  <c r="Y23" i="4"/>
  <c r="AL28" i="4"/>
  <c r="V18" i="3" l="1"/>
  <c r="AP17" i="9"/>
  <c r="AS17" i="9" s="1"/>
  <c r="AV17" i="9" s="1"/>
  <c r="AY17" i="9" s="1"/>
  <c r="BB17" i="9" s="1"/>
  <c r="BE17" i="9" s="1"/>
  <c r="BH17" i="9" s="1"/>
  <c r="BK17" i="9" s="1"/>
  <c r="BN17" i="9" s="1"/>
  <c r="BQ17" i="9" s="1"/>
  <c r="AE22" i="9"/>
  <c r="AL17" i="4"/>
  <c r="AE19" i="4"/>
  <c r="AM16" i="9"/>
  <c r="AK20" i="9"/>
  <c r="AK22" i="9" s="1"/>
  <c r="AK23" i="9" s="1"/>
  <c r="AK34" i="9" s="1"/>
  <c r="AL13" i="4"/>
  <c r="AP6" i="5" s="1"/>
  <c r="G27" i="8"/>
  <c r="H11" i="8"/>
  <c r="S17" i="5"/>
  <c r="Y13" i="3"/>
  <c r="X17" i="6"/>
  <c r="X23" i="6" s="1"/>
  <c r="Y14" i="3"/>
  <c r="BQ26" i="9"/>
  <c r="BQ28" i="9" s="1"/>
  <c r="Y34" i="9"/>
  <c r="AB26" i="9"/>
  <c r="V34" i="9"/>
  <c r="BK28" i="9"/>
  <c r="BN26" i="9"/>
  <c r="BN28" i="9" s="1"/>
  <c r="BU26" i="9"/>
  <c r="AK30" i="7"/>
  <c r="AK32" i="7" s="1"/>
  <c r="C32" i="7"/>
  <c r="F3" i="7"/>
  <c r="AK14" i="6"/>
  <c r="B14" i="8" s="1"/>
  <c r="AN23" i="5"/>
  <c r="AI23" i="5"/>
  <c r="AO23" i="5" s="1"/>
  <c r="AC24" i="5"/>
  <c r="AA18" i="6" s="1"/>
  <c r="AB28" i="5"/>
  <c r="V17" i="5"/>
  <c r="V10" i="5"/>
  <c r="V32" i="4"/>
  <c r="Y3" i="4" s="1"/>
  <c r="Y24" i="4"/>
  <c r="Y30" i="4" s="1"/>
  <c r="AB23" i="4"/>
  <c r="Y18" i="3" l="1"/>
  <c r="BU17" i="9"/>
  <c r="AE20" i="4"/>
  <c r="AL20" i="4" s="1"/>
  <c r="AL19" i="4"/>
  <c r="AL20" i="9"/>
  <c r="D20" i="8" s="1"/>
  <c r="AP16" i="9"/>
  <c r="AM20" i="9"/>
  <c r="AM22" i="9" s="1"/>
  <c r="AM23" i="9" s="1"/>
  <c r="AM34" i="9" s="1"/>
  <c r="AM36" i="9" s="1"/>
  <c r="AP3" i="9" s="1"/>
  <c r="E20" i="8"/>
  <c r="AE23" i="9"/>
  <c r="AL23" i="9" s="1"/>
  <c r="AL22" i="9"/>
  <c r="D22" i="8" s="1"/>
  <c r="G14" i="8"/>
  <c r="H15" i="8" s="1"/>
  <c r="B15" i="8"/>
  <c r="AA17" i="6"/>
  <c r="AA23" i="6" s="1"/>
  <c r="AB14" i="3"/>
  <c r="BU28" i="9"/>
  <c r="V36" i="9"/>
  <c r="Y3" i="9" s="1"/>
  <c r="Y36" i="9" s="1"/>
  <c r="AB3" i="9" s="1"/>
  <c r="AB34" i="9"/>
  <c r="AE26" i="9"/>
  <c r="F32" i="7"/>
  <c r="I3" i="7"/>
  <c r="Y10" i="5"/>
  <c r="AF24" i="5"/>
  <c r="AD18" i="6" s="1"/>
  <c r="AE28" i="5"/>
  <c r="AB13" i="3"/>
  <c r="AB18" i="3" s="1"/>
  <c r="AQ23" i="5"/>
  <c r="Y32" i="4"/>
  <c r="AB3" i="4" s="1"/>
  <c r="AB24" i="4"/>
  <c r="AB30" i="4" s="1"/>
  <c r="AE23" i="4"/>
  <c r="AS16" i="9" l="1"/>
  <c r="AP20" i="9"/>
  <c r="D28" i="8"/>
  <c r="D29" i="8" s="1"/>
  <c r="D45" i="8" s="1"/>
  <c r="D48" i="8" s="1"/>
  <c r="E22" i="8"/>
  <c r="E28" i="8" s="1"/>
  <c r="E29" i="8" s="1"/>
  <c r="E45" i="8" s="1"/>
  <c r="E48" i="8" s="1"/>
  <c r="G15" i="8"/>
  <c r="AB36" i="9"/>
  <c r="AE3" i="9" s="1"/>
  <c r="AD17" i="6"/>
  <c r="AE14" i="3"/>
  <c r="AE34" i="9"/>
  <c r="AH26" i="9"/>
  <c r="I32" i="7"/>
  <c r="L3" i="7"/>
  <c r="AB10" i="5"/>
  <c r="AK28" i="5"/>
  <c r="Y17" i="5"/>
  <c r="AN24" i="5"/>
  <c r="AI24" i="5"/>
  <c r="AH28" i="5"/>
  <c r="AE24" i="4"/>
  <c r="AE30" i="4" s="1"/>
  <c r="AB32" i="4"/>
  <c r="AE3" i="4" s="1"/>
  <c r="AP22" i="9" l="1"/>
  <c r="AP23" i="9" s="1"/>
  <c r="AP34" i="9" s="1"/>
  <c r="AP36" i="9" s="1"/>
  <c r="AS3" i="9" s="1"/>
  <c r="AE36" i="9"/>
  <c r="AH3" i="9" s="1"/>
  <c r="AS20" i="9"/>
  <c r="AS22" i="9" s="1"/>
  <c r="AS23" i="9" s="1"/>
  <c r="AS34" i="9" s="1"/>
  <c r="AV16" i="9"/>
  <c r="AE32" i="4"/>
  <c r="AH3" i="4" s="1"/>
  <c r="AD23" i="6"/>
  <c r="AO24" i="5"/>
  <c r="AG18" i="6"/>
  <c r="AK18" i="6" s="1"/>
  <c r="AP24" i="5" s="1"/>
  <c r="AL26" i="9"/>
  <c r="AG17" i="6"/>
  <c r="AG23" i="6" s="1"/>
  <c r="AH13" i="3"/>
  <c r="AH14" i="3"/>
  <c r="AM14" i="3" s="1"/>
  <c r="AE13" i="3"/>
  <c r="AE18" i="3" s="1"/>
  <c r="AH34" i="9"/>
  <c r="AH36" i="9" s="1"/>
  <c r="AL28" i="9"/>
  <c r="AL34" i="9"/>
  <c r="AL36" i="9" s="1"/>
  <c r="L32" i="7"/>
  <c r="O3" i="7"/>
  <c r="AE10" i="5"/>
  <c r="AN28" i="5"/>
  <c r="AB17" i="5"/>
  <c r="AQ24" i="5"/>
  <c r="AO28" i="5"/>
  <c r="AL23" i="4"/>
  <c r="AS36" i="9" l="1"/>
  <c r="AV3" i="9" s="1"/>
  <c r="AM13" i="3"/>
  <c r="AM18" i="3" s="1"/>
  <c r="AH18" i="3"/>
  <c r="AV20" i="9"/>
  <c r="AV22" i="9" s="1"/>
  <c r="AV23" i="9" s="1"/>
  <c r="AV34" i="9" s="1"/>
  <c r="AV36" i="9" s="1"/>
  <c r="AY3" i="9" s="1"/>
  <c r="AY16" i="9"/>
  <c r="AP14" i="3"/>
  <c r="AS14" i="3" s="1"/>
  <c r="AV14" i="3" s="1"/>
  <c r="AY14" i="3" s="1"/>
  <c r="BB14" i="3" s="1"/>
  <c r="BE14" i="3" s="1"/>
  <c r="BH14" i="3" s="1"/>
  <c r="BK14" i="3" s="1"/>
  <c r="BN14" i="3" s="1"/>
  <c r="BQ14" i="3" s="1"/>
  <c r="AP13" i="3"/>
  <c r="AN8" i="5"/>
  <c r="AN15" i="5"/>
  <c r="AO5" i="5"/>
  <c r="AQ5" i="5" s="1"/>
  <c r="AN5" i="5"/>
  <c r="AN7" i="5"/>
  <c r="AH38" i="9"/>
  <c r="AH39" i="9" s="1"/>
  <c r="AK3" i="9"/>
  <c r="AK36" i="9" s="1"/>
  <c r="O32" i="7"/>
  <c r="R3" i="7"/>
  <c r="AH10" i="5"/>
  <c r="AE17" i="5"/>
  <c r="AL24" i="4"/>
  <c r="AH30" i="4"/>
  <c r="AS13" i="3" l="1"/>
  <c r="AP18" i="3"/>
  <c r="AY20" i="9"/>
  <c r="AY22" i="9" s="1"/>
  <c r="AY23" i="9" s="1"/>
  <c r="AY34" i="9" s="1"/>
  <c r="AY36" i="9" s="1"/>
  <c r="BB3" i="9" s="1"/>
  <c r="BB16" i="9"/>
  <c r="AO8" i="5"/>
  <c r="AJ17" i="6"/>
  <c r="BU14" i="3"/>
  <c r="AK14" i="3"/>
  <c r="AL14" i="3" s="1"/>
  <c r="AP15" i="5" s="1"/>
  <c r="AO15" i="5"/>
  <c r="AK13" i="3"/>
  <c r="AO7" i="5"/>
  <c r="R32" i="7"/>
  <c r="U3" i="7"/>
  <c r="AH17" i="5"/>
  <c r="AN6" i="5"/>
  <c r="AN10" i="5" s="1"/>
  <c r="AO6" i="5"/>
  <c r="AK10" i="5"/>
  <c r="AL30" i="4"/>
  <c r="AL32" i="4" s="1"/>
  <c r="AH32" i="4"/>
  <c r="AL13" i="3" l="1"/>
  <c r="AP7" i="5" s="1"/>
  <c r="AK18" i="3"/>
  <c r="AL18" i="3" s="1"/>
  <c r="AV13" i="3"/>
  <c r="AS18" i="3"/>
  <c r="BB20" i="9"/>
  <c r="BB22" i="9" s="1"/>
  <c r="BB23" i="9" s="1"/>
  <c r="BB34" i="9" s="1"/>
  <c r="BB36" i="9" s="1"/>
  <c r="BE3" i="9" s="1"/>
  <c r="BE16" i="9"/>
  <c r="AJ23" i="6"/>
  <c r="AK23" i="6" s="1"/>
  <c r="B20" i="8" s="1"/>
  <c r="AK17" i="6"/>
  <c r="AP8" i="5" s="1"/>
  <c r="AQ8" i="5" s="1"/>
  <c r="AO13" i="5"/>
  <c r="AQ13" i="5" s="1"/>
  <c r="AN13" i="5"/>
  <c r="AO14" i="5"/>
  <c r="AQ14" i="5" s="1"/>
  <c r="AN14" i="5"/>
  <c r="AQ7" i="5"/>
  <c r="AQ15" i="5"/>
  <c r="U32" i="7"/>
  <c r="X3" i="7"/>
  <c r="AQ6" i="5"/>
  <c r="AO10" i="5"/>
  <c r="AN17" i="5"/>
  <c r="AK17" i="5"/>
  <c r="AK3" i="4"/>
  <c r="AK32" i="4" s="1"/>
  <c r="BH16" i="9" l="1"/>
  <c r="BE20" i="9"/>
  <c r="AY13" i="3"/>
  <c r="AV18" i="3"/>
  <c r="F20" i="8"/>
  <c r="H20" i="8"/>
  <c r="X32" i="7"/>
  <c r="AA3" i="7"/>
  <c r="AO17" i="5"/>
  <c r="BT17" i="3"/>
  <c r="BT19" i="3" s="1"/>
  <c r="BE22" i="9" l="1"/>
  <c r="G20" i="8"/>
  <c r="BB13" i="3"/>
  <c r="AY18" i="3"/>
  <c r="BH20" i="9"/>
  <c r="BH22" i="9" s="1"/>
  <c r="BH23" i="9" s="1"/>
  <c r="BH34" i="9" s="1"/>
  <c r="BK16" i="9"/>
  <c r="AA32" i="7"/>
  <c r="AD3" i="7"/>
  <c r="BE13" i="3" l="1"/>
  <c r="BB18" i="3"/>
  <c r="BN16" i="9"/>
  <c r="BK20" i="9"/>
  <c r="BK22" i="9" s="1"/>
  <c r="BK23" i="9" s="1"/>
  <c r="BK34" i="9" s="1"/>
  <c r="BE23" i="9"/>
  <c r="BT20" i="3"/>
  <c r="BT31" i="3" s="1"/>
  <c r="AD32" i="7"/>
  <c r="AG3" i="7"/>
  <c r="BE34" i="9" l="1"/>
  <c r="BE36" i="9" s="1"/>
  <c r="BH3" i="9" s="1"/>
  <c r="BH36" i="9" s="1"/>
  <c r="BK3" i="9" s="1"/>
  <c r="BK36" i="9" s="1"/>
  <c r="BN3" i="9" s="1"/>
  <c r="BN20" i="9"/>
  <c r="BQ16" i="9"/>
  <c r="BH13" i="3"/>
  <c r="BE18" i="3"/>
  <c r="AG32" i="7"/>
  <c r="AJ3" i="7"/>
  <c r="AJ32" i="7" s="1"/>
  <c r="BK13" i="3" l="1"/>
  <c r="BH18" i="3"/>
  <c r="BN22" i="9"/>
  <c r="BQ20" i="9"/>
  <c r="BU16" i="9"/>
  <c r="BH19" i="1"/>
  <c r="BH18" i="1"/>
  <c r="M15" i="1"/>
  <c r="Q15" i="1" s="1"/>
  <c r="V15" i="1" s="1"/>
  <c r="Z15" i="1" s="1"/>
  <c r="G15" i="1"/>
  <c r="B4" i="1"/>
  <c r="BQ4" i="1"/>
  <c r="AS21" i="1"/>
  <c r="E2" i="1"/>
  <c r="AW21" i="1"/>
  <c r="BA21" i="1"/>
  <c r="AF21" i="1"/>
  <c r="AJ21" i="1"/>
  <c r="AN21" i="1"/>
  <c r="S21" i="1"/>
  <c r="W21" i="1"/>
  <c r="AA21" i="1"/>
  <c r="F21" i="1"/>
  <c r="J21" i="1"/>
  <c r="N21" i="1"/>
  <c r="M12" i="1"/>
  <c r="Q12" i="1" s="1"/>
  <c r="V12" i="1"/>
  <c r="Z12" i="1" s="1"/>
  <c r="AD12" i="1" s="1"/>
  <c r="F12" i="1"/>
  <c r="H12" i="1" s="1"/>
  <c r="J12" i="1"/>
  <c r="L12" i="1" s="1"/>
  <c r="M11" i="1"/>
  <c r="Q11" i="1" s="1"/>
  <c r="N11" i="1" s="1"/>
  <c r="P11" i="1" s="1"/>
  <c r="F11" i="1"/>
  <c r="H11" i="1" s="1"/>
  <c r="V13" i="1"/>
  <c r="J13" i="1"/>
  <c r="G12" i="3" s="1"/>
  <c r="N13" i="1"/>
  <c r="J12" i="3" s="1"/>
  <c r="J17" i="3" s="1"/>
  <c r="J19" i="3" s="1"/>
  <c r="J20" i="3" s="1"/>
  <c r="J31" i="3" s="1"/>
  <c r="F13" i="1"/>
  <c r="D8" i="1"/>
  <c r="BQ3" i="1"/>
  <c r="Z13" i="1"/>
  <c r="W13" i="1" s="1"/>
  <c r="P12" i="3" s="1"/>
  <c r="P17" i="3" s="1"/>
  <c r="P19" i="3" s="1"/>
  <c r="P20" i="3" s="1"/>
  <c r="P31" i="3" s="1"/>
  <c r="BQ22" i="9" l="1"/>
  <c r="BU22" i="9" s="1"/>
  <c r="BU20" i="9"/>
  <c r="BN23" i="9"/>
  <c r="BN13" i="3"/>
  <c r="BK18" i="3"/>
  <c r="K15" i="1"/>
  <c r="AD13" i="1"/>
  <c r="AI13" i="1" s="1"/>
  <c r="AM13" i="1" s="1"/>
  <c r="AQ13" i="1" s="1"/>
  <c r="AN13" i="1" s="1"/>
  <c r="X15" i="1"/>
  <c r="AD15" i="1"/>
  <c r="AR13" i="1"/>
  <c r="AJ13" i="1"/>
  <c r="Y12" i="3" s="1"/>
  <c r="Y17" i="3" s="1"/>
  <c r="Y19" i="3" s="1"/>
  <c r="Y20" i="3" s="1"/>
  <c r="Y31" i="3" s="1"/>
  <c r="H13" i="1"/>
  <c r="D12" i="3"/>
  <c r="D17" i="3" s="1"/>
  <c r="S12" i="1"/>
  <c r="U12" i="1" s="1"/>
  <c r="BF21" i="1"/>
  <c r="AL13" i="1"/>
  <c r="AP13" i="1"/>
  <c r="AB12" i="3"/>
  <c r="AB17" i="3" s="1"/>
  <c r="AB19" i="3" s="1"/>
  <c r="AB20" i="3" s="1"/>
  <c r="AB31" i="3" s="1"/>
  <c r="P13" i="1"/>
  <c r="AV13" i="1"/>
  <c r="AZ13" i="1" s="1"/>
  <c r="AF13" i="1"/>
  <c r="AA13" i="1"/>
  <c r="G17" i="3"/>
  <c r="AS13" i="1"/>
  <c r="AE12" i="3" s="1"/>
  <c r="AE17" i="3" s="1"/>
  <c r="AE19" i="3" s="1"/>
  <c r="AE20" i="3" s="1"/>
  <c r="AE31" i="3" s="1"/>
  <c r="Y13" i="1"/>
  <c r="AI12" i="1"/>
  <c r="AA12" i="1"/>
  <c r="AE12" i="1"/>
  <c r="AE13" i="1"/>
  <c r="T15" i="1"/>
  <c r="W12" i="1"/>
  <c r="J11" i="1"/>
  <c r="V11" i="1"/>
  <c r="N12" i="1"/>
  <c r="E3" i="1"/>
  <c r="S13" i="1"/>
  <c r="M12" i="3" s="1"/>
  <c r="M17" i="3" s="1"/>
  <c r="M19" i="3" s="1"/>
  <c r="M20" i="3" s="1"/>
  <c r="M31" i="3" s="1"/>
  <c r="G13" i="1"/>
  <c r="L13" i="1"/>
  <c r="T12" i="1"/>
  <c r="S19" i="1" s="1"/>
  <c r="O15" i="1"/>
  <c r="BQ23" i="9" l="1"/>
  <c r="BQ34" i="9" s="1"/>
  <c r="BQ13" i="3"/>
  <c r="BQ18" i="3" s="1"/>
  <c r="BU18" i="3" s="1"/>
  <c r="BN18" i="3"/>
  <c r="BU13" i="3"/>
  <c r="BN34" i="9"/>
  <c r="BN36" i="9" s="1"/>
  <c r="BQ3" i="9" s="1"/>
  <c r="BQ36" i="9" s="1"/>
  <c r="BU23" i="9"/>
  <c r="BU34" i="9"/>
  <c r="BU36" i="9" s="1"/>
  <c r="AI15" i="1"/>
  <c r="AE15" i="1"/>
  <c r="AB15" i="1"/>
  <c r="D19" i="3"/>
  <c r="D20" i="3" s="1"/>
  <c r="D31" i="3" s="1"/>
  <c r="D33" i="3" s="1"/>
  <c r="G3" i="3" s="1"/>
  <c r="S12" i="3"/>
  <c r="AC13" i="1"/>
  <c r="AW13" i="1"/>
  <c r="BD13" i="1"/>
  <c r="AH13" i="1"/>
  <c r="V12" i="3"/>
  <c r="V17" i="3" s="1"/>
  <c r="V19" i="3" s="1"/>
  <c r="V20" i="3" s="1"/>
  <c r="V31" i="3" s="1"/>
  <c r="G19" i="3"/>
  <c r="U19" i="1"/>
  <c r="T19" i="1"/>
  <c r="V19" i="1" s="1"/>
  <c r="F15" i="1"/>
  <c r="J15" i="1"/>
  <c r="L15" i="1" s="1"/>
  <c r="BB21" i="1"/>
  <c r="BD21" i="1" s="1"/>
  <c r="AK21" i="1"/>
  <c r="AM21" i="1" s="1"/>
  <c r="T21" i="1"/>
  <c r="V21" i="1" s="1"/>
  <c r="AB21" i="1"/>
  <c r="AD21" i="1" s="1"/>
  <c r="M21" i="1"/>
  <c r="G12" i="1"/>
  <c r="F19" i="1" s="1"/>
  <c r="AA15" i="1"/>
  <c r="AC15" i="1" s="1"/>
  <c r="AO13" i="1"/>
  <c r="AG21" i="1"/>
  <c r="AI21" i="1" s="1"/>
  <c r="X21" i="1"/>
  <c r="Z21" i="1" s="1"/>
  <c r="Q21" i="1"/>
  <c r="P12" i="1"/>
  <c r="O12" i="1"/>
  <c r="N19" i="1" s="1"/>
  <c r="Z11" i="1"/>
  <c r="S11" i="1"/>
  <c r="O13" i="1"/>
  <c r="S15" i="1"/>
  <c r="U15" i="1" s="1"/>
  <c r="AF12" i="1"/>
  <c r="AM12" i="1"/>
  <c r="AB13" i="1"/>
  <c r="AU13" i="1"/>
  <c r="AT13" i="1"/>
  <c r="AX13" i="1"/>
  <c r="N15" i="1"/>
  <c r="P15" i="1" s="1"/>
  <c r="AT21" i="1"/>
  <c r="K12" i="1"/>
  <c r="J19" i="1" s="1"/>
  <c r="G11" i="1"/>
  <c r="K13" i="1"/>
  <c r="U13" i="1"/>
  <c r="T13" i="1"/>
  <c r="AX21" i="1"/>
  <c r="AZ21" i="1" s="1"/>
  <c r="AO21" i="1"/>
  <c r="AQ21" i="1" s="1"/>
  <c r="AR21" i="1" s="1"/>
  <c r="G21" i="1"/>
  <c r="I21" i="1" s="1"/>
  <c r="K11" i="1"/>
  <c r="L11" i="1"/>
  <c r="X12" i="1"/>
  <c r="W19" i="1" s="1"/>
  <c r="Y12" i="1"/>
  <c r="AC12" i="1"/>
  <c r="AB12" i="1"/>
  <c r="AA19" i="1" s="1"/>
  <c r="O11" i="1"/>
  <c r="AK13" i="1"/>
  <c r="X13" i="1"/>
  <c r="W15" i="1"/>
  <c r="Y15" i="1" s="1"/>
  <c r="AG13" i="1"/>
  <c r="BQ38" i="9" l="1"/>
  <c r="BQ39" i="9" s="1"/>
  <c r="BT3" i="9"/>
  <c r="BT36" i="9" s="1"/>
  <c r="AM15" i="1"/>
  <c r="AG15" i="1"/>
  <c r="AF15" i="1" s="1"/>
  <c r="AH15" i="1" s="1"/>
  <c r="BE13" i="1"/>
  <c r="BK13" i="1"/>
  <c r="BN13" i="1" s="1"/>
  <c r="BA13" i="1"/>
  <c r="AH12" i="3"/>
  <c r="AY13" i="1"/>
  <c r="S17" i="3"/>
  <c r="G20" i="3"/>
  <c r="N18" i="1"/>
  <c r="Y19" i="1"/>
  <c r="X19" i="1"/>
  <c r="Z19" i="1" s="1"/>
  <c r="L19" i="1"/>
  <c r="K19" i="1"/>
  <c r="M19" i="1" s="1"/>
  <c r="AQ12" i="1"/>
  <c r="AJ12" i="1"/>
  <c r="AG12" i="1"/>
  <c r="AF19" i="1" s="1"/>
  <c r="AH12" i="1"/>
  <c r="W11" i="1"/>
  <c r="AD11" i="1"/>
  <c r="P19" i="1"/>
  <c r="O19" i="1"/>
  <c r="Q19" i="1" s="1"/>
  <c r="G19" i="1"/>
  <c r="I19" i="1" s="1"/>
  <c r="H19" i="1"/>
  <c r="H15" i="1"/>
  <c r="AB19" i="1"/>
  <c r="AD19" i="1" s="1"/>
  <c r="AC19" i="1"/>
  <c r="J18" i="1"/>
  <c r="F18" i="1"/>
  <c r="AV21" i="1"/>
  <c r="BE21" i="1" s="1"/>
  <c r="T11" i="1"/>
  <c r="U11" i="1"/>
  <c r="AE21" i="1"/>
  <c r="J16" i="1"/>
  <c r="F16" i="6" s="1"/>
  <c r="F22" i="6" s="1"/>
  <c r="F24" i="6" s="1"/>
  <c r="F25" i="6" s="1"/>
  <c r="F58" i="6" s="1"/>
  <c r="BG21" i="1" l="1"/>
  <c r="AK15" i="1"/>
  <c r="AJ15" i="1" s="1"/>
  <c r="AL15" i="1" s="1"/>
  <c r="AQ15" i="1"/>
  <c r="AH17" i="3"/>
  <c r="AH19" i="3" s="1"/>
  <c r="AH20" i="3" s="1"/>
  <c r="AH31" i="3" s="1"/>
  <c r="AM12" i="3"/>
  <c r="AK12" i="3"/>
  <c r="BC13" i="1"/>
  <c r="BJ13" i="1" s="1"/>
  <c r="BF13" i="1"/>
  <c r="BB13" i="1"/>
  <c r="BI13" i="1" s="1"/>
  <c r="S19" i="3"/>
  <c r="G31" i="3"/>
  <c r="H18" i="1"/>
  <c r="G18" i="1"/>
  <c r="F25" i="1"/>
  <c r="Y11" i="1"/>
  <c r="X11" i="1"/>
  <c r="AG19" i="1"/>
  <c r="AI19" i="1" s="1"/>
  <c r="AH19" i="1"/>
  <c r="AK12" i="1"/>
  <c r="AJ19" i="1" s="1"/>
  <c r="AL12" i="1"/>
  <c r="N25" i="1"/>
  <c r="P18" i="1"/>
  <c r="O18" i="1"/>
  <c r="K16" i="1"/>
  <c r="L16" i="1"/>
  <c r="J22" i="1"/>
  <c r="J23" i="1" s="1"/>
  <c r="F16" i="1"/>
  <c r="C16" i="6" s="1"/>
  <c r="S18" i="1"/>
  <c r="L18" i="1"/>
  <c r="J25" i="1"/>
  <c r="K18" i="1"/>
  <c r="N16" i="1"/>
  <c r="I16" i="6" s="1"/>
  <c r="I22" i="6" s="1"/>
  <c r="I24" i="6" s="1"/>
  <c r="I25" i="6" s="1"/>
  <c r="I58" i="6" s="1"/>
  <c r="AI11" i="1"/>
  <c r="AE11" i="1"/>
  <c r="AA11" i="1"/>
  <c r="AN12" i="1"/>
  <c r="AV12" i="1"/>
  <c r="AR12" i="1"/>
  <c r="AV15" i="1" l="1"/>
  <c r="AR15" i="1"/>
  <c r="AO15" i="1"/>
  <c r="AN15" i="1" s="1"/>
  <c r="AP15" i="1" s="1"/>
  <c r="L22" i="1"/>
  <c r="L23" i="1" s="1"/>
  <c r="AP12" i="3"/>
  <c r="AM17" i="3"/>
  <c r="C22" i="6"/>
  <c r="BG13" i="1"/>
  <c r="S20" i="3"/>
  <c r="AK17" i="3"/>
  <c r="AL12" i="3"/>
  <c r="G33" i="3"/>
  <c r="J3" i="3" s="1"/>
  <c r="J33" i="3" s="1"/>
  <c r="M3" i="3" s="1"/>
  <c r="M33" i="3" s="1"/>
  <c r="P3" i="3" s="1"/>
  <c r="P33" i="3" s="1"/>
  <c r="S3" i="3" s="1"/>
  <c r="AZ12" i="1"/>
  <c r="AS12" i="1"/>
  <c r="AF11" i="1"/>
  <c r="AM11" i="1"/>
  <c r="L25" i="1"/>
  <c r="J26" i="1"/>
  <c r="L26" i="1" s="1"/>
  <c r="H16" i="1"/>
  <c r="H22" i="1" s="1"/>
  <c r="H23" i="1" s="1"/>
  <c r="G16" i="1"/>
  <c r="F22" i="1"/>
  <c r="F23" i="1" s="1"/>
  <c r="AO12" i="1"/>
  <c r="AN19" i="1" s="1"/>
  <c r="AP12" i="1"/>
  <c r="P16" i="1"/>
  <c r="P22" i="1" s="1"/>
  <c r="P23" i="1" s="1"/>
  <c r="O16" i="1"/>
  <c r="N22" i="1"/>
  <c r="N23" i="1" s="1"/>
  <c r="M18" i="1"/>
  <c r="K25" i="1"/>
  <c r="K26" i="1" s="1"/>
  <c r="M16" i="1"/>
  <c r="M22" i="1" s="1"/>
  <c r="M23" i="1" s="1"/>
  <c r="K22" i="1"/>
  <c r="K23" i="1" s="1"/>
  <c r="W18" i="1"/>
  <c r="I18" i="1"/>
  <c r="G25" i="1"/>
  <c r="AC11" i="1"/>
  <c r="AB11" i="1"/>
  <c r="T18" i="1"/>
  <c r="S25" i="1"/>
  <c r="U18" i="1"/>
  <c r="S16" i="1"/>
  <c r="L16" i="6" s="1"/>
  <c r="L22" i="6" s="1"/>
  <c r="L24" i="6" s="1"/>
  <c r="L25" i="6" s="1"/>
  <c r="L58" i="6" s="1"/>
  <c r="Q18" i="1"/>
  <c r="O25" i="1"/>
  <c r="O26" i="1" s="1"/>
  <c r="P25" i="1"/>
  <c r="N26" i="1"/>
  <c r="P26" i="1" s="1"/>
  <c r="AK19" i="1"/>
  <c r="AM19" i="1" s="1"/>
  <c r="AL19" i="1"/>
  <c r="H25" i="1"/>
  <c r="F26" i="1"/>
  <c r="H26" i="1" s="1"/>
  <c r="AZ15" i="1" l="1"/>
  <c r="AT15" i="1"/>
  <c r="AS15" i="1" s="1"/>
  <c r="AU15" i="1" s="1"/>
  <c r="AS12" i="3"/>
  <c r="AP17" i="3"/>
  <c r="C24" i="6"/>
  <c r="C25" i="6" s="1"/>
  <c r="AM19" i="3"/>
  <c r="AM20" i="3" s="1"/>
  <c r="G26" i="1"/>
  <c r="AK19" i="3"/>
  <c r="AL19" i="3" s="1"/>
  <c r="AL17" i="3"/>
  <c r="S31" i="3"/>
  <c r="AG11" i="1"/>
  <c r="AH11" i="1"/>
  <c r="V18" i="1"/>
  <c r="T25" i="1"/>
  <c r="Y18" i="1"/>
  <c r="X18" i="1"/>
  <c r="W25" i="1"/>
  <c r="W16" i="1"/>
  <c r="O16" i="6" s="1"/>
  <c r="O22" i="6" s="1"/>
  <c r="O24" i="6" s="1"/>
  <c r="O25" i="6" s="1"/>
  <c r="O58" i="6" s="1"/>
  <c r="T16" i="1"/>
  <c r="U16" i="1"/>
  <c r="U22" i="1" s="1"/>
  <c r="U23" i="1" s="1"/>
  <c r="S22" i="1"/>
  <c r="S23" i="1" s="1"/>
  <c r="S26" i="1"/>
  <c r="U26" i="1" s="1"/>
  <c r="U25" i="1"/>
  <c r="AA18" i="1"/>
  <c r="Q16" i="1"/>
  <c r="O22" i="1"/>
  <c r="O23" i="1" s="1"/>
  <c r="AO19" i="1"/>
  <c r="AQ19" i="1" s="1"/>
  <c r="AP19" i="1"/>
  <c r="I16" i="1"/>
  <c r="I22" i="1" s="1"/>
  <c r="I23" i="1" s="1"/>
  <c r="G22" i="1"/>
  <c r="G23" i="1" s="1"/>
  <c r="AQ11" i="1"/>
  <c r="AJ11" i="1"/>
  <c r="AT12" i="1"/>
  <c r="AS19" i="1" s="1"/>
  <c r="AU12" i="1"/>
  <c r="BD12" i="1"/>
  <c r="AW12" i="1"/>
  <c r="F22" i="8" l="1"/>
  <c r="F28" i="8" s="1"/>
  <c r="F29" i="8" s="1"/>
  <c r="F45" i="8" s="1"/>
  <c r="F48" i="8" s="1"/>
  <c r="AX15" i="1"/>
  <c r="AW15" i="1" s="1"/>
  <c r="AY15" i="1" s="1"/>
  <c r="BD15" i="1"/>
  <c r="C58" i="6"/>
  <c r="AM31" i="3"/>
  <c r="AK20" i="3"/>
  <c r="AK31" i="3" s="1"/>
  <c r="AL31" i="3" s="1"/>
  <c r="AL33" i="3" s="1"/>
  <c r="AV12" i="3"/>
  <c r="AS17" i="3"/>
  <c r="AP19" i="3"/>
  <c r="AL20" i="3"/>
  <c r="S33" i="3"/>
  <c r="V3" i="3" s="1"/>
  <c r="V33" i="3" s="1"/>
  <c r="Y3" i="3" s="1"/>
  <c r="Y33" i="3" s="1"/>
  <c r="AB3" i="3" s="1"/>
  <c r="AB33" i="3" s="1"/>
  <c r="AE3" i="3" s="1"/>
  <c r="AE33" i="3" s="1"/>
  <c r="AH3" i="3" s="1"/>
  <c r="AH33" i="3" s="1"/>
  <c r="BA12" i="1"/>
  <c r="BK12" i="1"/>
  <c r="BN12" i="1" s="1"/>
  <c r="BE12" i="1"/>
  <c r="AK11" i="1"/>
  <c r="AL11" i="1"/>
  <c r="AC18" i="1"/>
  <c r="AB18" i="1"/>
  <c r="AA25" i="1"/>
  <c r="AA16" i="1"/>
  <c r="R16" i="6" s="1"/>
  <c r="V16" i="1"/>
  <c r="V22" i="1" s="1"/>
  <c r="V23" i="1" s="1"/>
  <c r="T22" i="1"/>
  <c r="T23" i="1" s="1"/>
  <c r="W26" i="1"/>
  <c r="Y26" i="1" s="1"/>
  <c r="Y25" i="1"/>
  <c r="T26" i="1"/>
  <c r="AX12" i="1"/>
  <c r="AW19" i="1" s="1"/>
  <c r="AY12" i="1"/>
  <c r="AT19" i="1"/>
  <c r="AV19" i="1" s="1"/>
  <c r="AU19" i="1"/>
  <c r="AV11" i="1"/>
  <c r="AR11" i="1"/>
  <c r="AN11" i="1"/>
  <c r="Q22" i="1"/>
  <c r="Q23" i="1" s="1"/>
  <c r="R22" i="1"/>
  <c r="R23" i="1" s="1"/>
  <c r="X16" i="1"/>
  <c r="Y16" i="1"/>
  <c r="Y22" i="1" s="1"/>
  <c r="Y23" i="1" s="1"/>
  <c r="W22" i="1"/>
  <c r="Z18" i="1"/>
  <c r="X25" i="1"/>
  <c r="X26" i="1" s="1"/>
  <c r="AF18" i="1"/>
  <c r="BE15" i="1" l="1"/>
  <c r="BB15" i="1"/>
  <c r="BA15" i="1" s="1"/>
  <c r="AP20" i="3"/>
  <c r="AY12" i="3"/>
  <c r="AV17" i="3"/>
  <c r="R22" i="6"/>
  <c r="AS19" i="3"/>
  <c r="AM33" i="3"/>
  <c r="AP3" i="3" s="1"/>
  <c r="C60" i="6"/>
  <c r="F3" i="6"/>
  <c r="AK3" i="3"/>
  <c r="AK33" i="3" s="1"/>
  <c r="AH35" i="3"/>
  <c r="AH36" i="3" s="1"/>
  <c r="AG18" i="1"/>
  <c r="AF25" i="1"/>
  <c r="AH18" i="1"/>
  <c r="AF16" i="1"/>
  <c r="U16" i="6" s="1"/>
  <c r="U22" i="6" s="1"/>
  <c r="U24" i="6" s="1"/>
  <c r="U25" i="6" s="1"/>
  <c r="U58" i="6" s="1"/>
  <c r="AZ11" i="1"/>
  <c r="AS11" i="1"/>
  <c r="AA26" i="1"/>
  <c r="AC26" i="1" s="1"/>
  <c r="AC25" i="1"/>
  <c r="AJ18" i="1"/>
  <c r="BB12" i="1"/>
  <c r="BC12" i="1"/>
  <c r="BJ12" i="1" s="1"/>
  <c r="BF12" i="1"/>
  <c r="W28" i="1"/>
  <c r="W23" i="1"/>
  <c r="Z16" i="1"/>
  <c r="Z22" i="1" s="1"/>
  <c r="Z23" i="1" s="1"/>
  <c r="X22" i="1"/>
  <c r="X23" i="1" s="1"/>
  <c r="AO11" i="1"/>
  <c r="AP11" i="1"/>
  <c r="AX19" i="1"/>
  <c r="AY19" i="1"/>
  <c r="AB16" i="1"/>
  <c r="AC16" i="1"/>
  <c r="AC22" i="1" s="1"/>
  <c r="AC23" i="1" s="1"/>
  <c r="AA22" i="1"/>
  <c r="AA23" i="1" s="1"/>
  <c r="AD18" i="1"/>
  <c r="AB25" i="1"/>
  <c r="AB26" i="1" s="1"/>
  <c r="BF15" i="1" l="1"/>
  <c r="BC15" i="1"/>
  <c r="BG15" i="1"/>
  <c r="AS20" i="3"/>
  <c r="AS31" i="3" s="1"/>
  <c r="AV19" i="3"/>
  <c r="AV20" i="3" s="1"/>
  <c r="AV31" i="3" s="1"/>
  <c r="AP31" i="3"/>
  <c r="I3" i="6"/>
  <c r="F60" i="6"/>
  <c r="R24" i="6"/>
  <c r="BB12" i="3"/>
  <c r="AY17" i="3"/>
  <c r="AD16" i="1"/>
  <c r="AB22" i="1"/>
  <c r="AB23" i="1" s="1"/>
  <c r="AZ19" i="1"/>
  <c r="BI12" i="1"/>
  <c r="BA19" i="1"/>
  <c r="AG16" i="1"/>
  <c r="AH16" i="1"/>
  <c r="AH22" i="1" s="1"/>
  <c r="AH23" i="1" s="1"/>
  <c r="AF22" i="1"/>
  <c r="AF23" i="1" s="1"/>
  <c r="AF26" i="1"/>
  <c r="AH26" i="1" s="1"/>
  <c r="AH25" i="1"/>
  <c r="BG12" i="1"/>
  <c r="AN18" i="1"/>
  <c r="AL18" i="1"/>
  <c r="AK18" i="1"/>
  <c r="AJ25" i="1"/>
  <c r="AJ16" i="1"/>
  <c r="X16" i="6" s="1"/>
  <c r="X22" i="6" s="1"/>
  <c r="X24" i="6" s="1"/>
  <c r="X25" i="6" s="1"/>
  <c r="X58" i="6" s="1"/>
  <c r="AU11" i="1"/>
  <c r="AT11" i="1"/>
  <c r="BD11" i="1"/>
  <c r="AW11" i="1"/>
  <c r="AI18" i="1"/>
  <c r="AG25" i="1"/>
  <c r="AG26" i="1" s="1"/>
  <c r="BE12" i="3" l="1"/>
  <c r="BB17" i="3"/>
  <c r="R25" i="6"/>
  <c r="L3" i="6"/>
  <c r="I60" i="6"/>
  <c r="AY19" i="3"/>
  <c r="AY20" i="3" s="1"/>
  <c r="AP33" i="3"/>
  <c r="AS3" i="3" s="1"/>
  <c r="AS33" i="3" s="1"/>
  <c r="AV3" i="3" s="1"/>
  <c r="AV33" i="3" s="1"/>
  <c r="AY3" i="3" s="1"/>
  <c r="AY11" i="1"/>
  <c r="AX11" i="1"/>
  <c r="AS18" i="1"/>
  <c r="AJ26" i="1"/>
  <c r="AL26" i="1" s="1"/>
  <c r="AL25" i="1"/>
  <c r="AI16" i="1"/>
  <c r="AI22" i="1" s="1"/>
  <c r="AI23" i="1" s="1"/>
  <c r="AG22" i="1"/>
  <c r="AG23" i="1" s="1"/>
  <c r="BK11" i="1"/>
  <c r="BN11" i="1" s="1"/>
  <c r="BE11" i="1"/>
  <c r="BA11" i="1"/>
  <c r="AL16" i="1"/>
  <c r="AL22" i="1" s="1"/>
  <c r="AL23" i="1" s="1"/>
  <c r="AK16" i="1"/>
  <c r="AJ22" i="1"/>
  <c r="AJ23" i="1" s="1"/>
  <c r="AK25" i="1"/>
  <c r="AK26" i="1" s="1"/>
  <c r="AM18" i="1"/>
  <c r="AP18" i="1"/>
  <c r="AO18" i="1"/>
  <c r="AN25" i="1"/>
  <c r="AN16" i="1"/>
  <c r="AA16" i="6" s="1"/>
  <c r="AA22" i="6" s="1"/>
  <c r="AA24" i="6" s="1"/>
  <c r="AA25" i="6" s="1"/>
  <c r="AA58" i="6" s="1"/>
  <c r="BC19" i="1"/>
  <c r="BB19" i="1"/>
  <c r="BF19" i="1"/>
  <c r="AE16" i="1"/>
  <c r="AE22" i="1" s="1"/>
  <c r="AE23" i="1" s="1"/>
  <c r="AD22" i="1"/>
  <c r="AD23" i="1" s="1"/>
  <c r="AY31" i="3" l="1"/>
  <c r="AY33" i="3" s="1"/>
  <c r="BB3" i="3" s="1"/>
  <c r="BB19" i="3"/>
  <c r="BB20" i="3" s="1"/>
  <c r="BB31" i="3" s="1"/>
  <c r="O3" i="6"/>
  <c r="L60" i="6"/>
  <c r="R58" i="6"/>
  <c r="BH12" i="3"/>
  <c r="BE17" i="3"/>
  <c r="BD19" i="1"/>
  <c r="BI19" i="1"/>
  <c r="BJ19" i="1" s="1"/>
  <c r="BG19" i="1"/>
  <c r="AO25" i="1"/>
  <c r="AQ18" i="1"/>
  <c r="AT18" i="1"/>
  <c r="AS25" i="1"/>
  <c r="AU18" i="1"/>
  <c r="AS16" i="1"/>
  <c r="AD16" i="6" s="1"/>
  <c r="AD22" i="6" s="1"/>
  <c r="AD24" i="6" s="1"/>
  <c r="AW18" i="1"/>
  <c r="AO16" i="1"/>
  <c r="AP16" i="1"/>
  <c r="AP22" i="1" s="1"/>
  <c r="AP23" i="1" s="1"/>
  <c r="AN22" i="1"/>
  <c r="AN23" i="1" s="1"/>
  <c r="AP25" i="1"/>
  <c r="AN26" i="1"/>
  <c r="AP26" i="1" s="1"/>
  <c r="AM16" i="1"/>
  <c r="AM22" i="1" s="1"/>
  <c r="AM23" i="1" s="1"/>
  <c r="AK22" i="1"/>
  <c r="AK23" i="1" s="1"/>
  <c r="BF11" i="1"/>
  <c r="BB11" i="1"/>
  <c r="BC11" i="1"/>
  <c r="AD25" i="6" l="1"/>
  <c r="BE19" i="3"/>
  <c r="BE20" i="3" s="1"/>
  <c r="BE31" i="3" s="1"/>
  <c r="BK12" i="3"/>
  <c r="BH17" i="3"/>
  <c r="R3" i="6"/>
  <c r="O60" i="6"/>
  <c r="BB33" i="3"/>
  <c r="BE3" i="3" s="1"/>
  <c r="BJ11" i="1"/>
  <c r="AX18" i="1"/>
  <c r="AY18" i="1"/>
  <c r="AW25" i="1"/>
  <c r="AW16" i="1"/>
  <c r="AG16" i="6" s="1"/>
  <c r="AG22" i="6" s="1"/>
  <c r="AG24" i="6" s="1"/>
  <c r="AG25" i="6" s="1"/>
  <c r="AG58" i="6" s="1"/>
  <c r="AT16" i="1"/>
  <c r="AU16" i="1"/>
  <c r="AU22" i="1" s="1"/>
  <c r="AU23" i="1" s="1"/>
  <c r="AS22" i="1"/>
  <c r="AS23" i="1" s="1"/>
  <c r="AT25" i="1"/>
  <c r="AT26" i="1" s="1"/>
  <c r="AV18" i="1"/>
  <c r="AO26" i="1"/>
  <c r="BI11" i="1"/>
  <c r="BG11" i="1"/>
  <c r="BA18" i="1"/>
  <c r="AQ16" i="1"/>
  <c r="AO22" i="1"/>
  <c r="AO23" i="1" s="1"/>
  <c r="AS26" i="1"/>
  <c r="AU26" i="1" s="1"/>
  <c r="AU25" i="1"/>
  <c r="BE33" i="3" l="1"/>
  <c r="BH3" i="3" s="1"/>
  <c r="R60" i="6"/>
  <c r="U3" i="6"/>
  <c r="BH19" i="3"/>
  <c r="BH20" i="3" s="1"/>
  <c r="BH31" i="3" s="1"/>
  <c r="BN12" i="3"/>
  <c r="BK17" i="3"/>
  <c r="AD58" i="6"/>
  <c r="AR16" i="1"/>
  <c r="AR22" i="1" s="1"/>
  <c r="AR23" i="1" s="1"/>
  <c r="AQ22" i="1"/>
  <c r="AQ23" i="1" s="1"/>
  <c r="AV16" i="1"/>
  <c r="AV22" i="1" s="1"/>
  <c r="AV23" i="1" s="1"/>
  <c r="AT22" i="1"/>
  <c r="AT23" i="1" s="1"/>
  <c r="AW26" i="1"/>
  <c r="AY26" i="1" s="1"/>
  <c r="AY25" i="1"/>
  <c r="AX25" i="1"/>
  <c r="AZ18" i="1"/>
  <c r="BC18" i="1"/>
  <c r="BA25" i="1"/>
  <c r="BB18" i="1"/>
  <c r="BF18" i="1"/>
  <c r="BA16" i="1"/>
  <c r="AJ16" i="6" s="1"/>
  <c r="AX16" i="1"/>
  <c r="AY16" i="1"/>
  <c r="AY22" i="1" s="1"/>
  <c r="AY23" i="1" s="1"/>
  <c r="AW22" i="1"/>
  <c r="AW23" i="1" s="1"/>
  <c r="BH33" i="3" l="1"/>
  <c r="BK3" i="3" s="1"/>
  <c r="BK19" i="3"/>
  <c r="BK20" i="3" s="1"/>
  <c r="BK31" i="3" s="1"/>
  <c r="AJ22" i="6"/>
  <c r="AK16" i="6"/>
  <c r="BQ12" i="3"/>
  <c r="BN17" i="3"/>
  <c r="U60" i="6"/>
  <c r="X3" i="6"/>
  <c r="AZ16" i="1"/>
  <c r="AZ22" i="1" s="1"/>
  <c r="AZ23" i="1" s="1"/>
  <c r="AX22" i="1"/>
  <c r="AX23" i="1" s="1"/>
  <c r="BB16" i="1"/>
  <c r="BC16" i="1"/>
  <c r="BC22" i="1" s="1"/>
  <c r="BC23" i="1" s="1"/>
  <c r="BF16" i="1"/>
  <c r="BF22" i="1" s="1"/>
  <c r="BF23" i="1" s="1"/>
  <c r="BA22" i="1"/>
  <c r="BA23" i="1" s="1"/>
  <c r="BI18" i="1"/>
  <c r="BJ18" i="1" s="1"/>
  <c r="BD18" i="1"/>
  <c r="BB25" i="1"/>
  <c r="BB26" i="1" s="1"/>
  <c r="AX26" i="1"/>
  <c r="BC25" i="1"/>
  <c r="BF25" i="1"/>
  <c r="BA26" i="1"/>
  <c r="BG18" i="1"/>
  <c r="BK33" i="3" l="1"/>
  <c r="BN3" i="3" s="1"/>
  <c r="BQ17" i="3"/>
  <c r="BU12" i="3"/>
  <c r="AJ24" i="6"/>
  <c r="AK22" i="6"/>
  <c r="AA3" i="6"/>
  <c r="X60" i="6"/>
  <c r="BN19" i="3"/>
  <c r="BN20" i="3" s="1"/>
  <c r="BN31" i="3" s="1"/>
  <c r="BD16" i="1"/>
  <c r="BB22" i="1"/>
  <c r="BB23" i="1" s="1"/>
  <c r="BF26" i="1"/>
  <c r="BC26" i="1"/>
  <c r="BN33" i="3" l="1"/>
  <c r="BQ3" i="3" s="1"/>
  <c r="AJ25" i="6"/>
  <c r="AK24" i="6"/>
  <c r="AA60" i="6"/>
  <c r="AD3" i="6"/>
  <c r="BQ19" i="3"/>
  <c r="BU19" i="3" s="1"/>
  <c r="BU17" i="3"/>
  <c r="BE16" i="1"/>
  <c r="BE22" i="1" s="1"/>
  <c r="BE23" i="1" s="1"/>
  <c r="BD22" i="1"/>
  <c r="BD23" i="1" s="1"/>
  <c r="BG16" i="1"/>
  <c r="B22" i="8" l="1"/>
  <c r="H22" i="8"/>
  <c r="BQ20" i="3"/>
  <c r="BQ31" i="3" s="1"/>
  <c r="AJ58" i="6"/>
  <c r="AK58" i="6" s="1"/>
  <c r="AK60" i="6" s="1"/>
  <c r="AK25" i="6"/>
  <c r="AG3" i="6"/>
  <c r="AD60" i="6"/>
  <c r="G22" i="8" l="1"/>
  <c r="H28" i="8" s="1"/>
  <c r="B28" i="8"/>
  <c r="BU20" i="3"/>
  <c r="AG60" i="6"/>
  <c r="AJ3" i="6"/>
  <c r="AJ60" i="6" s="1"/>
  <c r="BU31" i="3"/>
  <c r="BU33" i="3" s="1"/>
  <c r="BQ33" i="3"/>
  <c r="G28" i="8" l="1"/>
  <c r="H29" i="8" s="1"/>
  <c r="B29" i="8"/>
  <c r="BQ35" i="3"/>
  <c r="BQ36" i="3" s="1"/>
  <c r="BT3" i="3"/>
  <c r="BT33" i="3" s="1"/>
  <c r="B45" i="8" l="1"/>
  <c r="G29" i="8"/>
  <c r="H45" i="8" s="1"/>
  <c r="H48" i="8" s="1"/>
  <c r="B48" i="8" l="1"/>
  <c r="G48" i="8" s="1"/>
  <c r="G45" i="8"/>
</calcChain>
</file>

<file path=xl/comments1.xml><?xml version="1.0" encoding="utf-8"?>
<comments xmlns="http://schemas.openxmlformats.org/spreadsheetml/2006/main">
  <authors>
    <author>mgrana</author>
  </authors>
  <commentList>
    <comment ref="AK7" authorId="0">
      <text>
        <r>
          <rPr>
            <sz val="12"/>
            <color indexed="81"/>
            <rFont val="Tahoma"/>
            <family val="2"/>
          </rPr>
          <t>unobligated balance</t>
        </r>
      </text>
    </comment>
    <comment ref="AK23" authorId="0">
      <text>
        <r>
          <rPr>
            <sz val="12"/>
            <color indexed="81"/>
            <rFont val="Tahoma"/>
            <family val="2"/>
          </rPr>
          <t>Projections from approved pre-award budget included at end of budget year. Actual costs are deducted as they are posted each month.</t>
        </r>
      </text>
    </comment>
  </commentList>
</comments>
</file>

<file path=xl/comments2.xml><?xml version="1.0" encoding="utf-8"?>
<comments xmlns="http://schemas.openxmlformats.org/spreadsheetml/2006/main">
  <authors>
    <author>mgrana</author>
  </authors>
  <commentList>
    <comment ref="AK7" authorId="0">
      <text>
        <r>
          <rPr>
            <sz val="12"/>
            <color indexed="81"/>
            <rFont val="Tahoma"/>
            <family val="2"/>
          </rPr>
          <t>carry-over to FY13</t>
        </r>
      </text>
    </comment>
    <comment ref="BT7" authorId="0">
      <text>
        <r>
          <rPr>
            <sz val="12"/>
            <color indexed="81"/>
            <rFont val="Tahoma"/>
            <family val="2"/>
          </rPr>
          <t>unobligated ending balance/deficit</t>
        </r>
      </text>
    </comment>
    <comment ref="AH26" authorId="0">
      <text>
        <r>
          <rPr>
            <sz val="12"/>
            <color indexed="81"/>
            <rFont val="Tahoma"/>
            <family val="2"/>
          </rPr>
          <t>Projections from approved pre-award budget</t>
        </r>
      </text>
    </comment>
    <comment ref="BQ27" authorId="0">
      <text>
        <r>
          <rPr>
            <sz val="12"/>
            <color indexed="81"/>
            <rFont val="Tahoma"/>
            <family val="2"/>
          </rPr>
          <t>projected from approved pre-award budget</t>
        </r>
      </text>
    </comment>
  </commentList>
</comments>
</file>

<file path=xl/comments3.xml><?xml version="1.0" encoding="utf-8"?>
<comments xmlns="http://schemas.openxmlformats.org/spreadsheetml/2006/main">
  <authors>
    <author>mgrana</author>
  </authors>
  <commentList>
    <comment ref="AK7" authorId="0">
      <text>
        <r>
          <rPr>
            <sz val="12"/>
            <color indexed="81"/>
            <rFont val="Tahoma"/>
            <family val="2"/>
          </rPr>
          <t>carry-over for FY13</t>
        </r>
      </text>
    </comment>
    <comment ref="BT7" authorId="0">
      <text>
        <r>
          <rPr>
            <sz val="12"/>
            <color indexed="81"/>
            <rFont val="Tahoma"/>
            <family val="2"/>
          </rPr>
          <t>unobligated ending balance</t>
        </r>
      </text>
    </comment>
    <comment ref="AH23" authorId="0">
      <text>
        <r>
          <rPr>
            <sz val="12"/>
            <color indexed="81"/>
            <rFont val="Tahoma"/>
            <family val="2"/>
          </rPr>
          <t>projected from approved pre-award budget</t>
        </r>
        <r>
          <rPr>
            <sz val="8"/>
            <color indexed="81"/>
            <rFont val="Tahoma"/>
            <charset val="1"/>
          </rPr>
          <t xml:space="preserve">
</t>
        </r>
      </text>
    </comment>
    <comment ref="BQ23" authorId="0">
      <text>
        <r>
          <rPr>
            <sz val="12"/>
            <color indexed="81"/>
            <rFont val="Tahoma"/>
            <family val="2"/>
          </rPr>
          <t>projected from approved pre-award budget</t>
        </r>
      </text>
    </comment>
  </commentList>
</comments>
</file>

<file path=xl/comments4.xml><?xml version="1.0" encoding="utf-8"?>
<comments xmlns="http://schemas.openxmlformats.org/spreadsheetml/2006/main">
  <authors>
    <author>mgrana</author>
  </authors>
  <commentList>
    <comment ref="AJ1" authorId="0">
      <text>
        <r>
          <rPr>
            <sz val="12"/>
            <color indexed="81"/>
            <rFont val="Tahoma"/>
            <family val="2"/>
          </rPr>
          <t>budgeted totals entered in August and actuals are deducted from this column as they are entered.</t>
        </r>
        <r>
          <rPr>
            <sz val="8"/>
            <color indexed="81"/>
            <rFont val="Tahoma"/>
            <charset val="1"/>
          </rPr>
          <t xml:space="preserve">
</t>
        </r>
      </text>
    </comment>
  </commentList>
</comments>
</file>

<file path=xl/sharedStrings.xml><?xml version="1.0" encoding="utf-8"?>
<sst xmlns="http://schemas.openxmlformats.org/spreadsheetml/2006/main" count="768" uniqueCount="307">
  <si>
    <t>Worksheet Date:</t>
  </si>
  <si>
    <t>Months</t>
  </si>
  <si>
    <t>Award</t>
  </si>
  <si>
    <t>Award Period</t>
  </si>
  <si>
    <t>Committed</t>
  </si>
  <si>
    <t>Net Dif</t>
  </si>
  <si>
    <t>NOV</t>
  </si>
  <si>
    <t>DEC</t>
  </si>
  <si>
    <t>JAN</t>
  </si>
  <si>
    <t>FEB</t>
  </si>
  <si>
    <t>MAR</t>
  </si>
  <si>
    <t>APR</t>
  </si>
  <si>
    <t>MAY</t>
  </si>
  <si>
    <t>JUN</t>
  </si>
  <si>
    <t>JUL</t>
  </si>
  <si>
    <t>AUG</t>
  </si>
  <si>
    <t>Charged</t>
  </si>
  <si>
    <t>% Effort</t>
  </si>
  <si>
    <t>Effort</t>
  </si>
  <si>
    <t>salary</t>
  </si>
  <si>
    <t>% effort</t>
  </si>
  <si>
    <t>N/A</t>
  </si>
  <si>
    <t>Monthly Total</t>
  </si>
  <si>
    <t>(after transfer to cost share)</t>
  </si>
  <si>
    <t>CHART STRING</t>
  </si>
  <si>
    <t>NMFF SALARY</t>
  </si>
  <si>
    <t>R01 CA123456</t>
  </si>
  <si>
    <t>Non-Fed Award</t>
  </si>
  <si>
    <t>% APPT</t>
  </si>
  <si>
    <t>$ SALARY</t>
  </si>
  <si>
    <t>Employee Name:</t>
  </si>
  <si>
    <t>Annual Base Salary (NU+NMFF):</t>
  </si>
  <si>
    <t>Monthly Base Salary (NU + NMFF):</t>
  </si>
  <si>
    <t>Salary Cap (Y/N)</t>
  </si>
  <si>
    <t>Applicable Cap</t>
  </si>
  <si>
    <t>Y</t>
  </si>
  <si>
    <t>N</t>
  </si>
  <si>
    <t>Operating</t>
  </si>
  <si>
    <t>Cost Share for R21HL654321</t>
  </si>
  <si>
    <t>Cost Share for R01CA123456</t>
  </si>
  <si>
    <t>Acct Short Name/Grant No.</t>
  </si>
  <si>
    <t>SEPTEMBER</t>
  </si>
  <si>
    <t>% base</t>
  </si>
  <si>
    <t>% NU</t>
  </si>
  <si>
    <t>Chair Endowment</t>
  </si>
  <si>
    <t>NU</t>
  </si>
  <si>
    <t>NMFF</t>
  </si>
  <si>
    <t>(1.5 days clinic/week)</t>
  </si>
  <si>
    <t>TOTAL CHARGE TO COST SHARE (192's)</t>
  </si>
  <si>
    <t>Total charge to ENDOWMENT</t>
  </si>
  <si>
    <t>OCTOBER</t>
  </si>
  <si>
    <t>BUDGET NOTE: Cost sharing charged to endowment acct</t>
  </si>
  <si>
    <t>Q1 EFFORT REPORT</t>
  </si>
  <si>
    <t>Q2 EFFORT REPORT</t>
  </si>
  <si>
    <t>Q3 EFFORT REPORT</t>
  </si>
  <si>
    <t>Q4 EFFORT REPORT</t>
  </si>
  <si>
    <t>TOTAL SALARY CHARGES</t>
  </si>
  <si>
    <t>% NU Salary</t>
  </si>
  <si>
    <t>% Base Salary</t>
  </si>
  <si>
    <t>1.5 clinic days/week</t>
  </si>
  <si>
    <t>NMFF commitment (from faculty appt letter)</t>
  </si>
  <si>
    <t>NU GRANT CHART STRINGS</t>
  </si>
  <si>
    <t>NU NON-GRANT CHART STRINGS</t>
  </si>
  <si>
    <r>
      <t>COST SHARE CHART STRINGS (</t>
    </r>
    <r>
      <rPr>
        <b/>
        <i/>
        <sz val="12"/>
        <color indexed="20"/>
        <rFont val="Arial"/>
        <family val="2"/>
      </rPr>
      <t>grant % effort = % cost share + % base</t>
    </r>
    <r>
      <rPr>
        <b/>
        <sz val="12"/>
        <color indexed="20"/>
        <rFont val="Arial"/>
      </rPr>
      <t>)</t>
    </r>
  </si>
  <si>
    <t>Project Period/ Additional Comments</t>
  </si>
  <si>
    <t>Account</t>
  </si>
  <si>
    <t>Sep 11</t>
  </si>
  <si>
    <t>Oct 11</t>
  </si>
  <si>
    <t>Nov 11</t>
  </si>
  <si>
    <t>Dec 11</t>
  </si>
  <si>
    <t>Jan 12</t>
  </si>
  <si>
    <t>Feb 12</t>
  </si>
  <si>
    <t>Mar 12</t>
  </si>
  <si>
    <t>Apr 12</t>
  </si>
  <si>
    <t>May 12</t>
  </si>
  <si>
    <t>Jun 12</t>
  </si>
  <si>
    <t>Jul 12</t>
  </si>
  <si>
    <t>Aug 12</t>
  </si>
  <si>
    <t>FY12 TOTALS</t>
  </si>
  <si>
    <t>Sept 12</t>
  </si>
  <si>
    <t>Oct 12</t>
  </si>
  <si>
    <t>Nov 12</t>
  </si>
  <si>
    <t>Dec 12</t>
  </si>
  <si>
    <t>Jan 13</t>
  </si>
  <si>
    <t>Feb 13</t>
  </si>
  <si>
    <t>Mar 13</t>
  </si>
  <si>
    <t>Apr 13</t>
  </si>
  <si>
    <t>May 13</t>
  </si>
  <si>
    <t>Jun 13</t>
  </si>
  <si>
    <t>Jul 13</t>
  </si>
  <si>
    <t>Aug 13</t>
  </si>
  <si>
    <t>FY13 TOTALS</t>
  </si>
  <si>
    <t>BEGINNING BALANCE</t>
  </si>
  <si>
    <t>REVENUE</t>
  </si>
  <si>
    <t>EXPENSES</t>
  </si>
  <si>
    <t>PERSONNEL</t>
  </si>
  <si>
    <t>base salary</t>
  </si>
  <si>
    <t>Reg Faculty Total</t>
  </si>
  <si>
    <t>Staff Total</t>
  </si>
  <si>
    <t>Fringe @ 27% in FY12; 27.1% in FY13</t>
  </si>
  <si>
    <t>SUPPLIES &amp; SERVICES</t>
  </si>
  <si>
    <t>TOTAL SALARY + FB</t>
  </si>
  <si>
    <t>Supplies &amp; Services Subtotal</t>
  </si>
  <si>
    <t>OTHER OPERATING EXPENSES</t>
  </si>
  <si>
    <t>76765</t>
  </si>
  <si>
    <t>Other Operating Expenses Subtotal</t>
  </si>
  <si>
    <t>EXPENSE TOTAL</t>
  </si>
  <si>
    <t>ENDING BALANCE</t>
  </si>
  <si>
    <t>$ CARRY-OVER OF UNOBLIGATED FUNDS TO NEXT BUDGET PERIOD</t>
  </si>
  <si>
    <t>$ UNOBLIGATED ENDING BALANCE (MUST RETURN TO AGENCY)</t>
  </si>
  <si>
    <t>% UNOBLIGATED ENDING BALANCE</t>
  </si>
  <si>
    <t>Grant Income</t>
  </si>
  <si>
    <t>Carry-over</t>
  </si>
  <si>
    <t>Fringe @ 25.7% in FY12; 25.8% in FY13</t>
  </si>
  <si>
    <t>TRAVEL (budgeted $4K/year)</t>
  </si>
  <si>
    <t>% UNOBLIGATED ENDING BALANCE FUNDS</t>
  </si>
  <si>
    <t>Funding FY12</t>
  </si>
  <si>
    <t>annualized effort</t>
  </si>
  <si>
    <t>FY12 Totals</t>
  </si>
  <si>
    <t>Math Check</t>
  </si>
  <si>
    <t>ü</t>
  </si>
  <si>
    <t>Employee</t>
  </si>
  <si>
    <t>Annual Base</t>
  </si>
  <si>
    <t>Acct Abbrev</t>
  </si>
  <si>
    <t>Salary</t>
  </si>
  <si>
    <t>Acct</t>
  </si>
  <si>
    <t>EX staff</t>
  </si>
  <si>
    <r>
      <t xml:space="preserve">NON-EXEMPT STAFF (HOURLY) </t>
    </r>
    <r>
      <rPr>
        <sz val="10"/>
        <rFont val="Arial"/>
        <family val="2"/>
      </rPr>
      <t>- 26 pay periods in FY12; 2 paychecks/month except Dec &amp; Jun which have 3</t>
    </r>
  </si>
  <si>
    <t>NEX staff</t>
  </si>
  <si>
    <t>Chair Endow</t>
  </si>
  <si>
    <t>OT</t>
  </si>
  <si>
    <t>Connie Coordinator</t>
  </si>
  <si>
    <t>Paul Programmer</t>
  </si>
  <si>
    <t>Departmental Operating Account</t>
  </si>
  <si>
    <t>Dept Operating</t>
  </si>
  <si>
    <t>Sept</t>
  </si>
  <si>
    <t>Oct</t>
  </si>
  <si>
    <t>Nov</t>
  </si>
  <si>
    <t>Dec</t>
  </si>
  <si>
    <t>Jan</t>
  </si>
  <si>
    <t>Feb</t>
  </si>
  <si>
    <t>Mar</t>
  </si>
  <si>
    <t>Apr</t>
  </si>
  <si>
    <t>May</t>
  </si>
  <si>
    <t>Jun</t>
  </si>
  <si>
    <t>Jul</t>
  </si>
  <si>
    <t>Aug</t>
  </si>
  <si>
    <t>40722</t>
  </si>
  <si>
    <t>40744</t>
  </si>
  <si>
    <t>40856</t>
  </si>
  <si>
    <t>Indirect Cost Revenue (from grant account totals in Composite)</t>
  </si>
  <si>
    <t>Revenue Offset:Taxes/Assess: 40% FSM Admin</t>
  </si>
  <si>
    <t>REVENUE TOTAL</t>
  </si>
  <si>
    <t>"other" operating income subtotal</t>
  </si>
  <si>
    <t>60011</t>
  </si>
  <si>
    <t>60101</t>
  </si>
  <si>
    <t>60104</t>
  </si>
  <si>
    <t>60112</t>
  </si>
  <si>
    <t>OVERTIME</t>
  </si>
  <si>
    <t>Fringe @ 27% (except OT, which is at 6.9%)</t>
  </si>
  <si>
    <t>TOTAL</t>
  </si>
  <si>
    <t>73010</t>
  </si>
  <si>
    <t>PAPER AND OFFICE SUPPLIES</t>
  </si>
  <si>
    <t>73100</t>
  </si>
  <si>
    <t>PURCHASED SOFTWARE</t>
  </si>
  <si>
    <t>77090</t>
  </si>
  <si>
    <t>COMPUTERS-NON CAPITAL</t>
  </si>
  <si>
    <t>75010</t>
  </si>
  <si>
    <t>PROF/CONSULT SVCS</t>
  </si>
  <si>
    <t>75011</t>
  </si>
  <si>
    <t>PROFES SVCS REIMB-NON-RES ALIE</t>
  </si>
  <si>
    <t>75120</t>
  </si>
  <si>
    <t>INTERNAL-PRINTING&amp;DUPLICATING</t>
  </si>
  <si>
    <t>75130</t>
  </si>
  <si>
    <t>73475</t>
  </si>
  <si>
    <r>
      <t>LAB SERVICES</t>
    </r>
    <r>
      <rPr>
        <sz val="10"/>
        <color indexed="10"/>
        <rFont val="Arial"/>
        <family val="2"/>
      </rPr>
      <t xml:space="preserve"> </t>
    </r>
  </si>
  <si>
    <t>75420</t>
  </si>
  <si>
    <t>COPIER LEASE</t>
  </si>
  <si>
    <t>76920</t>
  </si>
  <si>
    <t>VOICE LINE TELEPHONE EXPENSE</t>
  </si>
  <si>
    <t>OCCUPANCY EXPENSE</t>
  </si>
  <si>
    <t>75493</t>
  </si>
  <si>
    <t>EXTERNAL SPACE RENTAL</t>
  </si>
  <si>
    <t>OTHER OPERATING EXPENSE</t>
  </si>
  <si>
    <t>75510</t>
  </si>
  <si>
    <t>U.S. POST OFFICE</t>
  </si>
  <si>
    <t>75520</t>
  </si>
  <si>
    <t>COMMON CARRIER</t>
  </si>
  <si>
    <t>75660</t>
  </si>
  <si>
    <t>GENERAL SERVICES-CHICAGO</t>
  </si>
  <si>
    <t>75610</t>
  </si>
  <si>
    <t>INTERNAL - PHYSICAL PLANT SERVICES</t>
  </si>
  <si>
    <t>75690</t>
  </si>
  <si>
    <t>FOOD SERVICE</t>
  </si>
  <si>
    <t>76725</t>
  </si>
  <si>
    <t>SPECIAL EVENTS-EDUCATIONAL</t>
  </si>
  <si>
    <t>76730</t>
  </si>
  <si>
    <t>PROFESSIONAL DEVELOPMENT</t>
  </si>
  <si>
    <t>DOMESTIC TRAVEL</t>
  </si>
  <si>
    <t>76910</t>
  </si>
  <si>
    <t>TELE- MOVES &amp; CHANGES</t>
  </si>
  <si>
    <t>76950</t>
  </si>
  <si>
    <t>LONG DISTANCE TELEPHONE/ NUIT Core Svcs</t>
  </si>
  <si>
    <t>76955</t>
  </si>
  <si>
    <t>NON CORE SERVICES</t>
  </si>
  <si>
    <t>76915</t>
  </si>
  <si>
    <t xml:space="preserve">EQUIPMENT INSTALLATION -TELEPHONE </t>
  </si>
  <si>
    <t>40350</t>
  </si>
  <si>
    <t>Endowment Earnings</t>
  </si>
  <si>
    <t>Object Code</t>
  </si>
  <si>
    <t>60103</t>
  </si>
  <si>
    <t>Fringe @ 27%</t>
  </si>
  <si>
    <t>NO OBJECT CODE OPEN</t>
  </si>
  <si>
    <t>CHAIR, Charlie</t>
  </si>
  <si>
    <t>Annie Administrator</t>
  </si>
  <si>
    <t>FY12 COMPOSITE</t>
  </si>
  <si>
    <t>Account Name</t>
  </si>
  <si>
    <t>Chair Endowed</t>
  </si>
  <si>
    <t>math check</t>
  </si>
  <si>
    <t>Account Begin &amp; End Date (if applicable)</t>
  </si>
  <si>
    <t>Indefinite</t>
  </si>
  <si>
    <t>OPERATING INCOME</t>
  </si>
  <si>
    <t>Endowment Earnings Distribution</t>
  </si>
  <si>
    <t>Grants &amp; Contracts-Direct Costs</t>
  </si>
  <si>
    <t>Dean's Commitments</t>
  </si>
  <si>
    <t>*F&amp;A Cost Recovery Pool (100%)</t>
  </si>
  <si>
    <t>*Shared F&amp;A from other Depts</t>
  </si>
  <si>
    <t>Other Operating Income</t>
  </si>
  <si>
    <t>TOTAL OPERATING INCOME</t>
  </si>
  <si>
    <t>OPERATING EXPENSE</t>
  </si>
  <si>
    <t>Faculty Salaries</t>
  </si>
  <si>
    <t>Research Faculty &amp; Assoc</t>
  </si>
  <si>
    <t>Staff Salaries</t>
  </si>
  <si>
    <t>Clinical Fellow Salaries</t>
  </si>
  <si>
    <t>Grad Student Tuition, Stipend &amp; Benefits</t>
  </si>
  <si>
    <t>Occupancy Expense</t>
  </si>
  <si>
    <t>Grants &amp; Contracts - Subcontracts</t>
  </si>
  <si>
    <t>Supplies &amp; Services</t>
  </si>
  <si>
    <t>Other Operating Expense</t>
  </si>
  <si>
    <t>TOTAL OPERATING EXPENSE</t>
  </si>
  <si>
    <t>EXCESS OPERATING INCOME OVER EXPENSES</t>
  </si>
  <si>
    <t>NON-OPERATING INCOME</t>
  </si>
  <si>
    <t>Gift Income</t>
  </si>
  <si>
    <t>Endowment Appreciation</t>
  </si>
  <si>
    <t>Other Nonoperating Income</t>
  </si>
  <si>
    <t>TOTAL NONOPERATING INCOME</t>
  </si>
  <si>
    <t>NONOPERATING EXPENSE</t>
  </si>
  <si>
    <t>Endowment Depreciation</t>
  </si>
  <si>
    <t>Capital Equipment &amp; Furnishings</t>
  </si>
  <si>
    <t>Renovation/Construction</t>
  </si>
  <si>
    <t>Other Nonoperating Expenses</t>
  </si>
  <si>
    <t>TOTAL NONOPERATING EXPENSE</t>
  </si>
  <si>
    <t>INCREASE IN NET ASSETS</t>
  </si>
  <si>
    <t>ELIMINATIONS</t>
  </si>
  <si>
    <t>NET ASSETS, BEGINNING BALANCE</t>
  </si>
  <si>
    <t>NET ASSETS, ENDING BALANCE</t>
  </si>
  <si>
    <t>110-8675309</t>
  </si>
  <si>
    <t>Department X Operating</t>
  </si>
  <si>
    <t>450-8675309-40001234</t>
  </si>
  <si>
    <t>610-8675309-60010001</t>
  </si>
  <si>
    <t>610-8675309-60010002</t>
  </si>
  <si>
    <t>Fringe Benefits (25.7% fed; 27% nonfed)</t>
  </si>
  <si>
    <t>Chair</t>
  </si>
  <si>
    <t>110-8675309 (calculated as base salary not covered by grant + NMFF)</t>
  </si>
  <si>
    <t>Chair R01</t>
  </si>
  <si>
    <t>610-8675309-60010003</t>
  </si>
  <si>
    <t>650-8675309-60010004</t>
  </si>
  <si>
    <t>Chair Non-Fed</t>
  </si>
  <si>
    <t>450-8675.09-40001234</t>
  </si>
  <si>
    <t>192-675309-60010001</t>
  </si>
  <si>
    <t>192-8675309-60010002</t>
  </si>
  <si>
    <t>7998-NMFF-2012</t>
  </si>
  <si>
    <t>78660</t>
  </si>
  <si>
    <t>8/1/11-7/31/13</t>
  </si>
  <si>
    <t>Carry-over of available budget (Fiscal Year)</t>
  </si>
  <si>
    <t>110 8675309 (DEPT OPERATING) - NO EXPIRATION</t>
  </si>
  <si>
    <t>Dept Recharge</t>
  </si>
  <si>
    <t>Other Salary Reimbursement</t>
  </si>
  <si>
    <t>EXTERNAL-PRINTING SERVICES</t>
  </si>
  <si>
    <t>Chair (payback to 192's)</t>
  </si>
  <si>
    <t>LAB SUPPLIES &amp; HARDWARE ($10K budgeted in Y4; $5K budgeted in Y5)</t>
  </si>
  <si>
    <t>SUBJECT REIMBURSEMENT (budgeted $10,000 in Y4; $15,000 in Y5)</t>
  </si>
  <si>
    <t>650-8675309-60010004                                                (Chair NON-FED: 8/1/11-7/31/13)</t>
  </si>
  <si>
    <t>450-8675309-40001234                                              (CHAIR ENDOWMENT) - NO EXPIRATION</t>
  </si>
  <si>
    <t>Extra-dept Co-Investigator A                                              (25% committed)</t>
  </si>
  <si>
    <r>
      <t xml:space="preserve">Extra-dept Co-Investigator B                                    </t>
    </r>
    <r>
      <rPr>
        <sz val="10"/>
        <color rgb="FFFF0000"/>
        <rFont val="Arial"/>
        <family val="2"/>
      </rPr>
      <t>(REDUCED FROM 30% TO 10% IN Y4)</t>
    </r>
  </si>
  <si>
    <t>Extra-dept Co-Investigator C                                              (5% committed)</t>
  </si>
  <si>
    <t>R03 HL654321</t>
  </si>
  <si>
    <t>9/1/11-8/31/12</t>
  </si>
  <si>
    <t>TRAVEL                                                               (budgeted $1,200)</t>
  </si>
  <si>
    <t>SUBJECT REIMBURSEMENT                (budgeted $1,700)</t>
  </si>
  <si>
    <t>Chair R03</t>
  </si>
  <si>
    <t xml:space="preserve"> Operating Account</t>
  </si>
  <si>
    <t>8/1/08-7/31/13</t>
  </si>
  <si>
    <t>Grant Income ($75K/year for 2 years)</t>
  </si>
  <si>
    <t>SUBJECT REIMBURSEMENT                                                         ($2,500 spent in FY11; $10,000 total budgeted in Y1; $8,000 budgeted in Y2)</t>
  </si>
  <si>
    <t>DOMESTIC TRAVEL                                                     (budgeted $1,500/year)</t>
  </si>
  <si>
    <t>LAB SUPPLIES &amp; HARDWARE                        ($5K budgeted in Y1; $3K budgeted in Y2)</t>
  </si>
  <si>
    <t>% CARRY-OVER OF UNOBLIGATED FUNDS TO NEXT BUDGET PERIOD</t>
  </si>
  <si>
    <t>Chair R01 CA123456</t>
  </si>
  <si>
    <t>Chair R03 HL654321</t>
  </si>
  <si>
    <t>610-8675309-60010002                                                                  (Chair R03 HL654321: 9/1/11-8/31/12)</t>
  </si>
  <si>
    <t>610-8675309-60010001                                                                    (Chair R01 CA123456: 8/1/08-7/31/13)</t>
  </si>
  <si>
    <t>END OF BUDGET YEAR</t>
  </si>
  <si>
    <t>END OF PROJECT PERIOD</t>
  </si>
  <si>
    <t>% CARRY-OVER  -- NEED PRIOR APPROVAL FOR 25% OR MORE CARRY-OVER</t>
  </si>
  <si>
    <t>$ CARRY-OVER UNOBLIGATED FUNDS TO NEXT BUDGET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</si>
</sst>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0.0%"/>
    <numFmt numFmtId="165" formatCode="&quot;$&quot;#,##0"/>
    <numFmt numFmtId="166" formatCode="m/d/yy;@"/>
    <numFmt numFmtId="167" formatCode="&quot;$&quot;#,##0.00"/>
    <numFmt numFmtId="168" formatCode="[$-409]mmmm\-yy;@"/>
  </numFmts>
  <fonts count="73" x14ac:knownFonts="1">
    <font>
      <sz val="10"/>
      <name val="Arial"/>
    </font>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20"/>
      <name val="Arial"/>
    </font>
    <font>
      <b/>
      <sz val="16"/>
      <color indexed="20"/>
      <name val="Arial"/>
    </font>
    <font>
      <sz val="12"/>
      <name val="Arial"/>
      <family val="2"/>
    </font>
    <font>
      <b/>
      <sz val="14"/>
      <name val="Arial"/>
      <family val="2"/>
    </font>
    <font>
      <sz val="12"/>
      <name val="Arial"/>
    </font>
    <font>
      <b/>
      <sz val="12"/>
      <name val="Arial"/>
    </font>
    <font>
      <b/>
      <sz val="8"/>
      <name val="Arial"/>
    </font>
    <font>
      <b/>
      <sz val="10"/>
      <name val="Arial"/>
      <family val="2"/>
    </font>
    <font>
      <b/>
      <sz val="10"/>
      <name val="Arial"/>
    </font>
    <font>
      <b/>
      <sz val="8"/>
      <name val="Arial"/>
      <family val="2"/>
    </font>
    <font>
      <sz val="10"/>
      <name val="Arial"/>
      <family val="2"/>
    </font>
    <font>
      <b/>
      <sz val="8"/>
      <color indexed="10"/>
      <name val="Arial"/>
    </font>
    <font>
      <b/>
      <i/>
      <sz val="12"/>
      <color indexed="20"/>
      <name val="Arial"/>
      <family val="2"/>
    </font>
    <font>
      <b/>
      <sz val="8"/>
      <color indexed="20"/>
      <name val="Arial"/>
    </font>
    <font>
      <b/>
      <sz val="10"/>
      <color indexed="8"/>
      <name val="Arial"/>
      <family val="2"/>
    </font>
    <font>
      <b/>
      <sz val="10"/>
      <color indexed="23"/>
      <name val="Arial"/>
      <family val="2"/>
    </font>
    <font>
      <b/>
      <sz val="10"/>
      <color rgb="FFFF0000"/>
      <name val="Arial"/>
      <family val="2"/>
    </font>
    <font>
      <sz val="10"/>
      <color indexed="8"/>
      <name val="Arial"/>
      <family val="2"/>
    </font>
    <font>
      <sz val="10"/>
      <color indexed="23"/>
      <name val="Arial"/>
      <family val="2"/>
    </font>
    <font>
      <b/>
      <u/>
      <sz val="12"/>
      <name val="Arial"/>
      <family val="2"/>
    </font>
    <font>
      <b/>
      <sz val="12"/>
      <name val="Arial"/>
      <family val="2"/>
    </font>
    <font>
      <i/>
      <sz val="10"/>
      <name val="Arial"/>
      <family val="2"/>
    </font>
    <font>
      <sz val="10"/>
      <color rgb="FF0000FF"/>
      <name val="Arial"/>
      <family val="2"/>
    </font>
    <font>
      <sz val="10"/>
      <color indexed="12"/>
      <name val="Arial"/>
      <family val="2"/>
    </font>
    <font>
      <sz val="10"/>
      <color indexed="20"/>
      <name val="Arial"/>
      <family val="2"/>
    </font>
    <font>
      <u/>
      <sz val="10"/>
      <color indexed="12"/>
      <name val="Arial"/>
      <family val="2"/>
    </font>
    <font>
      <b/>
      <sz val="9"/>
      <name val="Arial"/>
      <family val="2"/>
    </font>
    <font>
      <b/>
      <sz val="10"/>
      <name val="Wingdings"/>
      <charset val="2"/>
    </font>
    <font>
      <sz val="10"/>
      <color indexed="14"/>
      <name val="Arial"/>
      <family val="2"/>
    </font>
    <font>
      <b/>
      <u/>
      <sz val="10"/>
      <name val="Arial"/>
      <family val="2"/>
    </font>
    <font>
      <b/>
      <sz val="10"/>
      <color indexed="14"/>
      <name val="Arial"/>
      <family val="2"/>
    </font>
    <font>
      <sz val="10"/>
      <color theme="0" tint="-0.14999847407452621"/>
      <name val="Arial"/>
      <family val="2"/>
    </font>
    <font>
      <b/>
      <sz val="16"/>
      <name val="Arial"/>
      <family val="2"/>
    </font>
    <font>
      <sz val="16"/>
      <color indexed="14"/>
      <name val="Arial"/>
      <family val="2"/>
    </font>
    <font>
      <sz val="16"/>
      <name val="Arial"/>
      <family val="2"/>
    </font>
    <font>
      <b/>
      <sz val="10"/>
      <color indexed="53"/>
      <name val="Arial"/>
      <family val="2"/>
    </font>
    <font>
      <sz val="10"/>
      <color indexed="53"/>
      <name val="Arial"/>
      <family val="2"/>
    </font>
    <font>
      <b/>
      <sz val="10"/>
      <color rgb="FFFF6600"/>
      <name val="Arial"/>
      <family val="2"/>
    </font>
    <font>
      <sz val="10"/>
      <color theme="9" tint="-0.499984740745262"/>
      <name val="Arial"/>
      <family val="2"/>
    </font>
    <font>
      <sz val="12"/>
      <color indexed="57"/>
      <name val="Arial"/>
      <family val="2"/>
    </font>
    <font>
      <sz val="10"/>
      <color indexed="57"/>
      <name val="Arial"/>
      <family val="2"/>
    </font>
    <font>
      <sz val="8"/>
      <name val="Arial"/>
      <family val="2"/>
    </font>
    <font>
      <sz val="10"/>
      <color indexed="10"/>
      <name val="Arial"/>
      <family val="2"/>
    </font>
    <font>
      <b/>
      <sz val="18"/>
      <color indexed="10"/>
      <name val="Arial"/>
      <family val="2"/>
    </font>
    <font>
      <sz val="10"/>
      <color indexed="55"/>
      <name val="Arial"/>
      <family val="2"/>
    </font>
    <font>
      <sz val="10"/>
      <color indexed="17"/>
      <name val="Arial"/>
      <family val="2"/>
    </font>
    <font>
      <sz val="10"/>
      <color indexed="18"/>
      <name val="Arial"/>
      <family val="2"/>
    </font>
    <font>
      <sz val="10"/>
      <color rgb="FFFF0000"/>
      <name val="Arial"/>
      <family val="2"/>
    </font>
    <font>
      <sz val="12"/>
      <color indexed="81"/>
      <name val="Tahoma"/>
      <family val="2"/>
    </font>
    <font>
      <b/>
      <sz val="10"/>
      <color theme="9" tint="-0.499984740745262"/>
      <name val="Arial"/>
      <family val="2"/>
    </font>
    <font>
      <sz val="8"/>
      <color indexed="81"/>
      <name val="Tahoma"/>
      <charset val="1"/>
    </font>
    <font>
      <sz val="10"/>
      <color theme="0"/>
      <name val="Arial"/>
      <family val="2"/>
    </font>
    <font>
      <b/>
      <sz val="10"/>
      <color theme="0"/>
      <name val="Arial"/>
      <family val="2"/>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43"/>
        <bgColor indexed="64"/>
      </patternFill>
    </fill>
    <fill>
      <patternFill patternType="solid">
        <fgColor indexed="45"/>
        <bgColor indexed="64"/>
      </patternFill>
    </fill>
    <fill>
      <patternFill patternType="solid">
        <fgColor rgb="FFFF99FF"/>
        <bgColor indexed="64"/>
      </patternFill>
    </fill>
    <fill>
      <patternFill patternType="solid">
        <fgColor indexed="13"/>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46"/>
        <bgColor indexed="64"/>
      </patternFill>
    </fill>
    <fill>
      <patternFill patternType="solid">
        <fgColor indexed="41"/>
        <bgColor indexed="64"/>
      </patternFill>
    </fill>
    <fill>
      <patternFill patternType="solid">
        <fgColor indexed="8"/>
        <bgColor indexed="64"/>
      </patternFill>
    </fill>
    <fill>
      <patternFill patternType="solid">
        <fgColor indexed="51"/>
        <bgColor indexed="64"/>
      </patternFill>
    </fill>
    <fill>
      <patternFill patternType="solid">
        <fgColor rgb="FFFF66FF"/>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3" tint="0.39997558519241921"/>
        <bgColor indexed="64"/>
      </patternFill>
    </fill>
    <fill>
      <patternFill patternType="solid">
        <fgColor theme="9" tint="0.79998168889431442"/>
        <bgColor indexed="64"/>
      </patternFill>
    </fill>
  </fills>
  <borders count="5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bottom style="medium">
        <color indexed="64"/>
      </bottom>
      <diagonal/>
    </border>
  </borders>
  <cellStyleXfs count="4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 fillId="23" borderId="7" applyNumberFormat="0" applyFont="0" applyAlignment="0" applyProtection="0"/>
    <xf numFmtId="0" fontId="16" fillId="20" borderId="8" applyNumberFormat="0" applyAlignment="0" applyProtection="0"/>
    <xf numFmtId="9" fontId="1"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168" fontId="45" fillId="0" borderId="0" applyNumberFormat="0" applyFill="0" applyBorder="0" applyAlignment="0" applyProtection="0">
      <alignment vertical="top"/>
      <protection locked="0"/>
    </xf>
  </cellStyleXfs>
  <cellXfs count="601">
    <xf numFmtId="0" fontId="0" fillId="0" borderId="0" xfId="0"/>
    <xf numFmtId="0" fontId="20" fillId="0" borderId="0" xfId="0" applyFont="1" applyFill="1" applyAlignment="1">
      <alignment horizontal="right" vertical="center" wrapText="1"/>
    </xf>
    <xf numFmtId="0" fontId="22" fillId="0" borderId="0" xfId="0" applyFont="1" applyFill="1" applyBorder="1" applyAlignment="1">
      <alignment vertical="center"/>
    </xf>
    <xf numFmtId="0" fontId="0" fillId="0" borderId="0" xfId="0" applyFill="1" applyAlignment="1">
      <alignment vertical="center"/>
    </xf>
    <xf numFmtId="0" fontId="0" fillId="0" borderId="0" xfId="0" applyAlignment="1">
      <alignment vertical="center"/>
    </xf>
    <xf numFmtId="0" fontId="20" fillId="0" borderId="0" xfId="0" applyFont="1" applyFill="1" applyBorder="1" applyAlignment="1">
      <alignment horizontal="right" vertical="center" wrapText="1"/>
    </xf>
    <xf numFmtId="0" fontId="22" fillId="0" borderId="0" xfId="0" applyFont="1" applyFill="1" applyAlignment="1">
      <alignment vertical="center"/>
    </xf>
    <xf numFmtId="0" fontId="26" fillId="0" borderId="0" xfId="0" applyFont="1" applyFill="1" applyAlignment="1">
      <alignment horizontal="right" vertical="center" wrapText="1"/>
    </xf>
    <xf numFmtId="0" fontId="0" fillId="0" borderId="0" xfId="0" applyFill="1" applyAlignment="1">
      <alignment horizontal="center" vertical="center"/>
    </xf>
    <xf numFmtId="0" fontId="28" fillId="0" borderId="0" xfId="0" applyFont="1" applyAlignment="1">
      <alignment horizontal="center" vertical="center"/>
    </xf>
    <xf numFmtId="0" fontId="28" fillId="0" borderId="10" xfId="0" applyFont="1" applyFill="1" applyBorder="1" applyAlignment="1">
      <alignment horizontal="center" vertical="center"/>
    </xf>
    <xf numFmtId="43" fontId="1" fillId="0" borderId="11" xfId="28" applyFont="1" applyFill="1" applyBorder="1" applyAlignment="1">
      <alignment vertical="center"/>
    </xf>
    <xf numFmtId="0" fontId="0" fillId="0" borderId="10" xfId="0" applyFill="1" applyBorder="1" applyAlignment="1">
      <alignment vertical="center"/>
    </xf>
    <xf numFmtId="43" fontId="1" fillId="0" borderId="10" xfId="28" applyFill="1" applyBorder="1" applyAlignment="1">
      <alignment vertical="center"/>
    </xf>
    <xf numFmtId="164" fontId="0" fillId="0" borderId="10" xfId="0" applyNumberFormat="1" applyFill="1" applyBorder="1" applyAlignment="1">
      <alignment vertical="center"/>
    </xf>
    <xf numFmtId="9" fontId="0" fillId="0" borderId="0" xfId="0" applyNumberFormat="1" applyFill="1" applyAlignment="1">
      <alignment vertical="center"/>
    </xf>
    <xf numFmtId="43" fontId="1" fillId="0" borderId="10" xfId="28" applyFont="1" applyFill="1" applyBorder="1" applyAlignment="1">
      <alignment vertical="center"/>
    </xf>
    <xf numFmtId="164" fontId="1" fillId="0" borderId="10" xfId="0" applyNumberFormat="1" applyFont="1" applyFill="1" applyBorder="1" applyAlignment="1">
      <alignment vertical="center"/>
    </xf>
    <xf numFmtId="0" fontId="1" fillId="0" borderId="10" xfId="0" applyFont="1" applyFill="1" applyBorder="1" applyAlignment="1">
      <alignment vertical="center"/>
    </xf>
    <xf numFmtId="0" fontId="1" fillId="0" borderId="0" xfId="0" applyFont="1" applyFill="1" applyAlignment="1">
      <alignment vertical="center"/>
    </xf>
    <xf numFmtId="43" fontId="0" fillId="0" borderId="11" xfId="0" applyNumberFormat="1" applyFill="1" applyBorder="1" applyAlignment="1">
      <alignment vertical="center"/>
    </xf>
    <xf numFmtId="0" fontId="0" fillId="0" borderId="12" xfId="0" applyFill="1" applyBorder="1" applyAlignment="1">
      <alignment vertical="center"/>
    </xf>
    <xf numFmtId="43" fontId="0" fillId="0" borderId="0" xfId="0" applyNumberFormat="1" applyFill="1" applyAlignment="1">
      <alignment vertical="center"/>
    </xf>
    <xf numFmtId="0" fontId="0" fillId="0" borderId="0" xfId="0" applyFill="1" applyBorder="1" applyAlignment="1">
      <alignment vertical="center"/>
    </xf>
    <xf numFmtId="0" fontId="28" fillId="24" borderId="10" xfId="0" applyFont="1" applyFill="1" applyBorder="1" applyAlignment="1">
      <alignment horizontal="center" vertical="center"/>
    </xf>
    <xf numFmtId="0" fontId="28" fillId="24" borderId="0" xfId="0" applyFont="1" applyFill="1" applyAlignment="1">
      <alignment horizontal="center" vertical="center"/>
    </xf>
    <xf numFmtId="0" fontId="26" fillId="0" borderId="13" xfId="0" applyFont="1" applyFill="1" applyBorder="1" applyAlignment="1">
      <alignment horizontal="right" vertical="center" wrapText="1"/>
    </xf>
    <xf numFmtId="0" fontId="20" fillId="24" borderId="14" xfId="0" applyFont="1" applyFill="1" applyBorder="1" applyAlignment="1">
      <alignment horizontal="left" vertical="center"/>
    </xf>
    <xf numFmtId="0" fontId="26" fillId="0" borderId="14" xfId="0" applyFont="1" applyFill="1" applyBorder="1" applyAlignment="1">
      <alignment horizontal="right" vertical="center" wrapText="1"/>
    </xf>
    <xf numFmtId="0" fontId="31" fillId="0" borderId="14" xfId="0" applyFont="1" applyFill="1" applyBorder="1" applyAlignment="1">
      <alignment horizontal="left" vertical="center"/>
    </xf>
    <xf numFmtId="0" fontId="20" fillId="0" borderId="0" xfId="0" applyFont="1" applyFill="1" applyAlignment="1">
      <alignment horizontal="right" vertical="center"/>
    </xf>
    <xf numFmtId="0" fontId="26" fillId="0" borderId="10"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6" fillId="24" borderId="10" xfId="0" applyFont="1" applyFill="1" applyBorder="1" applyAlignment="1">
      <alignment horizontal="right" vertical="center" wrapText="1"/>
    </xf>
    <xf numFmtId="0" fontId="28" fillId="24" borderId="12" xfId="0" applyFont="1" applyFill="1" applyBorder="1" applyAlignment="1">
      <alignment horizontal="center" vertical="center"/>
    </xf>
    <xf numFmtId="43" fontId="1" fillId="0" borderId="10" xfId="28" applyFont="1" applyFill="1" applyBorder="1" applyAlignment="1">
      <alignment horizontal="center" vertical="center"/>
    </xf>
    <xf numFmtId="43" fontId="1" fillId="0" borderId="12" xfId="28" applyFont="1" applyFill="1" applyBorder="1" applyAlignment="1">
      <alignment horizontal="center" vertical="center"/>
    </xf>
    <xf numFmtId="0" fontId="1" fillId="0" borderId="12" xfId="0" applyFont="1" applyFill="1" applyBorder="1" applyAlignment="1">
      <alignment vertical="center"/>
    </xf>
    <xf numFmtId="0" fontId="26" fillId="0" borderId="15" xfId="0" applyFont="1" applyFill="1" applyBorder="1" applyAlignment="1">
      <alignment horizontal="right" vertical="center" wrapText="1"/>
    </xf>
    <xf numFmtId="0" fontId="28" fillId="0" borderId="15" xfId="0" applyFont="1" applyFill="1" applyBorder="1" applyAlignment="1">
      <alignment horizontal="center" vertical="center" wrapText="1"/>
    </xf>
    <xf numFmtId="0" fontId="28" fillId="24" borderId="10" xfId="0" applyFont="1" applyFill="1" applyBorder="1" applyAlignment="1">
      <alignment horizontal="center" vertical="center" wrapText="1"/>
    </xf>
    <xf numFmtId="0" fontId="0" fillId="0" borderId="16" xfId="0" applyFill="1" applyBorder="1" applyAlignment="1">
      <alignment vertical="center"/>
    </xf>
    <xf numFmtId="0" fontId="26" fillId="0" borderId="17" xfId="0" applyFont="1" applyFill="1" applyBorder="1" applyAlignment="1">
      <alignment horizontal="right" vertical="center" wrapText="1"/>
    </xf>
    <xf numFmtId="0" fontId="26" fillId="24" borderId="18" xfId="0" applyFont="1" applyFill="1" applyBorder="1" applyAlignment="1">
      <alignment horizontal="right" vertical="center" wrapText="1"/>
    </xf>
    <xf numFmtId="0" fontId="26" fillId="0" borderId="18" xfId="0" applyFont="1" applyFill="1" applyBorder="1" applyAlignment="1">
      <alignment horizontal="right" vertical="center" wrapText="1"/>
    </xf>
    <xf numFmtId="0" fontId="26" fillId="0" borderId="19" xfId="0" applyFont="1" applyFill="1" applyBorder="1" applyAlignment="1">
      <alignment horizontal="right" vertical="center" wrapText="1"/>
    </xf>
    <xf numFmtId="0" fontId="26" fillId="0" borderId="20" xfId="0" applyFont="1" applyFill="1" applyBorder="1" applyAlignment="1">
      <alignment horizontal="right" vertical="center" wrapText="1"/>
    </xf>
    <xf numFmtId="0" fontId="28" fillId="0" borderId="21" xfId="0" applyFont="1" applyFill="1" applyBorder="1" applyAlignment="1">
      <alignment horizontal="center" vertical="center" wrapText="1"/>
    </xf>
    <xf numFmtId="0" fontId="28" fillId="24" borderId="22" xfId="0" applyFont="1" applyFill="1" applyBorder="1" applyAlignment="1">
      <alignment horizontal="center" vertical="center"/>
    </xf>
    <xf numFmtId="43" fontId="1" fillId="0" borderId="22" xfId="28" applyFont="1" applyFill="1" applyBorder="1" applyAlignment="1">
      <alignment vertical="center"/>
    </xf>
    <xf numFmtId="43" fontId="1" fillId="0" borderId="22" xfId="28" applyFont="1" applyFill="1" applyBorder="1" applyAlignment="1">
      <alignment horizontal="center" vertical="center"/>
    </xf>
    <xf numFmtId="0" fontId="1" fillId="0" borderId="22" xfId="0" applyFont="1" applyFill="1" applyBorder="1" applyAlignment="1">
      <alignment vertical="center"/>
    </xf>
    <xf numFmtId="0" fontId="28" fillId="24" borderId="11" xfId="0" applyFont="1" applyFill="1" applyBorder="1" applyAlignment="1">
      <alignment horizontal="center" vertical="center"/>
    </xf>
    <xf numFmtId="0" fontId="0" fillId="0" borderId="11" xfId="0" applyFill="1" applyBorder="1" applyAlignment="1">
      <alignment vertical="center"/>
    </xf>
    <xf numFmtId="0" fontId="1" fillId="0" borderId="11" xfId="0" applyFont="1" applyFill="1" applyBorder="1" applyAlignment="1">
      <alignment vertical="center"/>
    </xf>
    <xf numFmtId="43" fontId="0" fillId="0" borderId="23" xfId="0" applyNumberFormat="1" applyFill="1" applyBorder="1" applyAlignment="1">
      <alignment vertical="center"/>
    </xf>
    <xf numFmtId="14" fontId="20" fillId="0" borderId="0" xfId="0" applyNumberFormat="1" applyFont="1" applyFill="1" applyAlignment="1">
      <alignment horizontal="center" vertical="center" wrapText="1"/>
    </xf>
    <xf numFmtId="10" fontId="20" fillId="0" borderId="0" xfId="42" applyNumberFormat="1" applyFont="1" applyFill="1" applyAlignment="1">
      <alignment horizontal="center" vertical="center" wrapText="1"/>
    </xf>
    <xf numFmtId="0" fontId="28" fillId="24" borderId="11" xfId="0" applyFont="1" applyFill="1" applyBorder="1" applyAlignment="1">
      <alignment horizontal="left" vertical="center"/>
    </xf>
    <xf numFmtId="43" fontId="22" fillId="0" borderId="0" xfId="0" applyNumberFormat="1" applyFont="1" applyFill="1" applyAlignment="1">
      <alignment vertical="center"/>
    </xf>
    <xf numFmtId="14" fontId="20" fillId="0" borderId="0" xfId="0" applyNumberFormat="1" applyFont="1" applyFill="1" applyAlignment="1">
      <alignment horizontal="right" vertical="center"/>
    </xf>
    <xf numFmtId="39" fontId="20" fillId="0" borderId="0" xfId="28" applyNumberFormat="1" applyFont="1" applyFill="1" applyBorder="1" applyAlignment="1">
      <alignment vertical="center"/>
    </xf>
    <xf numFmtId="10" fontId="28" fillId="24" borderId="10" xfId="0" applyNumberFormat="1" applyFont="1" applyFill="1" applyBorder="1" applyAlignment="1">
      <alignment horizontal="center" vertical="center" wrapText="1"/>
    </xf>
    <xf numFmtId="43" fontId="22" fillId="0" borderId="0" xfId="0" applyNumberFormat="1" applyFont="1" applyFill="1" applyBorder="1" applyAlignment="1">
      <alignment vertical="center"/>
    </xf>
    <xf numFmtId="0" fontId="26" fillId="25" borderId="18" xfId="0" applyFont="1" applyFill="1" applyBorder="1" applyAlignment="1">
      <alignment horizontal="right" vertical="center" wrapText="1"/>
    </xf>
    <xf numFmtId="0" fontId="29" fillId="25" borderId="10" xfId="0" applyFont="1" applyFill="1" applyBorder="1" applyAlignment="1">
      <alignment horizontal="right" vertical="center" wrapText="1"/>
    </xf>
    <xf numFmtId="0" fontId="28" fillId="25" borderId="18" xfId="0" applyFont="1" applyFill="1" applyBorder="1" applyAlignment="1">
      <alignment horizontal="right" vertical="center" wrapText="1"/>
    </xf>
    <xf numFmtId="0" fontId="27" fillId="25" borderId="10" xfId="0" applyFont="1" applyFill="1" applyBorder="1" applyAlignment="1">
      <alignment horizontal="right" vertical="center" wrapText="1"/>
    </xf>
    <xf numFmtId="0" fontId="26" fillId="25" borderId="14" xfId="0" applyFont="1" applyFill="1" applyBorder="1" applyAlignment="1">
      <alignment horizontal="right" vertical="center" wrapText="1"/>
    </xf>
    <xf numFmtId="0" fontId="28" fillId="25" borderId="14" xfId="0" applyFont="1" applyFill="1" applyBorder="1" applyAlignment="1">
      <alignment horizontal="right" vertical="center" wrapText="1"/>
    </xf>
    <xf numFmtId="0" fontId="26" fillId="25" borderId="10" xfId="0" applyFont="1" applyFill="1" applyBorder="1" applyAlignment="1">
      <alignment horizontal="right" vertical="center" wrapText="1"/>
    </xf>
    <xf numFmtId="0" fontId="20" fillId="25" borderId="14" xfId="0" applyFont="1" applyFill="1" applyBorder="1" applyAlignment="1">
      <alignment horizontal="left" vertical="center"/>
    </xf>
    <xf numFmtId="0" fontId="28" fillId="24" borderId="12" xfId="0" applyFont="1" applyFill="1" applyBorder="1" applyAlignment="1">
      <alignment horizontal="center" vertical="center" wrapText="1"/>
    </xf>
    <xf numFmtId="0" fontId="0" fillId="0" borderId="24" xfId="0" applyFill="1" applyBorder="1" applyAlignment="1">
      <alignment vertical="center"/>
    </xf>
    <xf numFmtId="0" fontId="0" fillId="0" borderId="25" xfId="0" applyFill="1" applyBorder="1" applyAlignment="1">
      <alignment vertical="center"/>
    </xf>
    <xf numFmtId="0" fontId="26" fillId="0" borderId="13" xfId="0" applyFont="1" applyFill="1" applyBorder="1" applyAlignment="1">
      <alignment horizontal="right" vertical="center"/>
    </xf>
    <xf numFmtId="43" fontId="0" fillId="0" borderId="13" xfId="0" applyNumberFormat="1" applyFill="1" applyBorder="1" applyAlignment="1">
      <alignment vertical="center"/>
    </xf>
    <xf numFmtId="43" fontId="0" fillId="0" borderId="26" xfId="0" applyNumberFormat="1" applyFill="1" applyBorder="1" applyAlignment="1">
      <alignment vertical="center"/>
    </xf>
    <xf numFmtId="0" fontId="26" fillId="0" borderId="27" xfId="0" applyFont="1" applyFill="1" applyBorder="1" applyAlignment="1">
      <alignment horizontal="right" vertical="center" wrapText="1"/>
    </xf>
    <xf numFmtId="43" fontId="0" fillId="0" borderId="27" xfId="0" applyNumberFormat="1" applyFill="1" applyBorder="1" applyAlignment="1">
      <alignment vertical="center"/>
    </xf>
    <xf numFmtId="43" fontId="0" fillId="0" borderId="28" xfId="0" applyNumberFormat="1" applyFill="1" applyBorder="1" applyAlignment="1">
      <alignment vertical="center"/>
    </xf>
    <xf numFmtId="0" fontId="26" fillId="0" borderId="25" xfId="0" applyFont="1" applyFill="1" applyBorder="1" applyAlignment="1">
      <alignment horizontal="right" vertical="center" wrapText="1"/>
    </xf>
    <xf numFmtId="0" fontId="1" fillId="0" borderId="13" xfId="0" applyFont="1" applyFill="1" applyBorder="1" applyAlignment="1">
      <alignment vertical="center"/>
    </xf>
    <xf numFmtId="0" fontId="28" fillId="24" borderId="13" xfId="0" applyFont="1" applyFill="1" applyBorder="1" applyAlignment="1">
      <alignment horizontal="center" vertical="center" wrapText="1"/>
    </xf>
    <xf numFmtId="0" fontId="27" fillId="26" borderId="29" xfId="0" applyFont="1" applyFill="1" applyBorder="1" applyAlignment="1">
      <alignment horizontal="center" vertical="center" wrapText="1"/>
    </xf>
    <xf numFmtId="9" fontId="1" fillId="26" borderId="13" xfId="28" applyNumberFormat="1" applyFont="1" applyFill="1" applyBorder="1" applyAlignment="1">
      <alignment horizontal="center" vertical="center"/>
    </xf>
    <xf numFmtId="0" fontId="22" fillId="0" borderId="0" xfId="0" applyFont="1" applyFill="1" applyBorder="1" applyAlignment="1">
      <alignment horizontal="center" vertical="center"/>
    </xf>
    <xf numFmtId="0" fontId="22" fillId="0" borderId="0" xfId="0" applyFont="1" applyFill="1" applyAlignment="1">
      <alignment horizontal="center" vertical="center"/>
    </xf>
    <xf numFmtId="164" fontId="1" fillId="26" borderId="12" xfId="28" applyNumberFormat="1" applyFont="1" applyFill="1" applyBorder="1" applyAlignment="1">
      <alignment horizontal="center" vertical="center"/>
    </xf>
    <xf numFmtId="0" fontId="1" fillId="26" borderId="12" xfId="0" applyFont="1" applyFill="1" applyBorder="1" applyAlignment="1">
      <alignment horizontal="center" vertical="center"/>
    </xf>
    <xf numFmtId="0" fontId="1" fillId="26" borderId="13" xfId="0" applyFont="1" applyFill="1" applyBorder="1" applyAlignment="1">
      <alignment horizontal="center" vertical="center"/>
    </xf>
    <xf numFmtId="43" fontId="0" fillId="26" borderId="13" xfId="0" applyNumberFormat="1" applyFill="1" applyBorder="1" applyAlignment="1">
      <alignment horizontal="center" vertical="center"/>
    </xf>
    <xf numFmtId="0" fontId="0" fillId="26" borderId="27" xfId="0" applyFill="1" applyBorder="1" applyAlignment="1">
      <alignment horizontal="center" vertical="center"/>
    </xf>
    <xf numFmtId="10" fontId="0" fillId="0" borderId="10" xfId="0" applyNumberFormat="1" applyFill="1" applyBorder="1" applyAlignment="1">
      <alignment vertical="center"/>
    </xf>
    <xf numFmtId="43" fontId="1" fillId="25" borderId="10" xfId="28" applyFill="1" applyBorder="1" applyAlignment="1">
      <alignment vertical="center"/>
    </xf>
    <xf numFmtId="164" fontId="1" fillId="0" borderId="10" xfId="0" applyNumberFormat="1" applyFont="1" applyFill="1" applyBorder="1" applyAlignment="1">
      <alignment horizontal="center" vertical="center"/>
    </xf>
    <xf numFmtId="0" fontId="30" fillId="0" borderId="10" xfId="0" applyFont="1" applyFill="1" applyBorder="1" applyAlignment="1">
      <alignment horizontal="center" vertical="center"/>
    </xf>
    <xf numFmtId="0" fontId="0" fillId="0" borderId="10" xfId="0" applyFill="1" applyBorder="1" applyAlignment="1">
      <alignment horizontal="center" vertical="center"/>
    </xf>
    <xf numFmtId="0" fontId="23" fillId="0" borderId="0" xfId="0" applyFont="1" applyFill="1" applyBorder="1" applyAlignment="1">
      <alignment vertical="center"/>
    </xf>
    <xf numFmtId="0" fontId="24" fillId="0" borderId="0" xfId="0" applyFont="1" applyFill="1" applyBorder="1" applyAlignment="1">
      <alignment vertical="center"/>
    </xf>
    <xf numFmtId="0" fontId="24"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8" fillId="0" borderId="21" xfId="0" applyFont="1" applyFill="1" applyBorder="1" applyAlignment="1">
      <alignment horizontal="center" vertical="center" wrapText="1" shrinkToFit="1"/>
    </xf>
    <xf numFmtId="43" fontId="1" fillId="0" borderId="30" xfId="28" applyFont="1" applyFill="1" applyBorder="1" applyAlignment="1">
      <alignment vertical="center"/>
    </xf>
    <xf numFmtId="0" fontId="27" fillId="0" borderId="10" xfId="0" applyFont="1" applyFill="1" applyBorder="1" applyAlignment="1">
      <alignment horizontal="center" vertical="center" wrapText="1"/>
    </xf>
    <xf numFmtId="9" fontId="1" fillId="0" borderId="10" xfId="28" applyNumberFormat="1" applyFont="1" applyFill="1" applyBorder="1" applyAlignment="1">
      <alignment horizontal="center" vertical="center"/>
    </xf>
    <xf numFmtId="10" fontId="1" fillId="0" borderId="10" xfId="42" applyNumberFormat="1" applyFont="1" applyFill="1" applyBorder="1" applyAlignment="1">
      <alignment horizontal="center" vertical="center"/>
    </xf>
    <xf numFmtId="10" fontId="1" fillId="25" borderId="12" xfId="28" applyNumberFormat="1" applyFont="1" applyFill="1" applyBorder="1" applyAlignment="1">
      <alignment horizontal="center" vertical="center"/>
    </xf>
    <xf numFmtId="10" fontId="1" fillId="0" borderId="12" xfId="28" applyNumberFormat="1" applyFont="1" applyFill="1" applyBorder="1" applyAlignment="1">
      <alignment horizontal="center" vertical="center"/>
    </xf>
    <xf numFmtId="164" fontId="1" fillId="0" borderId="12" xfId="28" applyNumberFormat="1" applyFont="1" applyFill="1" applyBorder="1" applyAlignment="1">
      <alignment horizontal="center" vertical="center"/>
    </xf>
    <xf numFmtId="0" fontId="1" fillId="0" borderId="10" xfId="0" applyFont="1" applyFill="1" applyBorder="1" applyAlignment="1">
      <alignment horizontal="center" vertical="center"/>
    </xf>
    <xf numFmtId="0" fontId="1" fillId="0" borderId="12" xfId="0" applyFont="1" applyFill="1" applyBorder="1" applyAlignment="1">
      <alignment horizontal="center" vertical="center"/>
    </xf>
    <xf numFmtId="164" fontId="1" fillId="0" borderId="10" xfId="42" applyNumberFormat="1" applyFont="1" applyFill="1" applyBorder="1" applyAlignment="1">
      <alignment horizontal="center" vertical="center"/>
    </xf>
    <xf numFmtId="43" fontId="0" fillId="0" borderId="12" xfId="0" applyNumberFormat="1" applyFill="1" applyBorder="1" applyAlignment="1">
      <alignment horizontal="center" vertical="center"/>
    </xf>
    <xf numFmtId="164" fontId="0" fillId="0" borderId="16" xfId="0" applyNumberFormat="1" applyFill="1" applyBorder="1" applyAlignment="1">
      <alignment horizontal="center" vertical="center"/>
    </xf>
    <xf numFmtId="10" fontId="1" fillId="0" borderId="16" xfId="42" applyNumberFormat="1" applyFont="1" applyFill="1" applyBorder="1" applyAlignment="1">
      <alignment horizontal="center" vertical="center"/>
    </xf>
    <xf numFmtId="0" fontId="0" fillId="0" borderId="24" xfId="0" applyFill="1" applyBorder="1" applyAlignment="1">
      <alignment horizontal="center" vertical="center"/>
    </xf>
    <xf numFmtId="43" fontId="27" fillId="0" borderId="22" xfId="28" applyFont="1" applyFill="1" applyBorder="1" applyAlignment="1">
      <alignment vertical="center"/>
    </xf>
    <xf numFmtId="9" fontId="1" fillId="0" borderId="12" xfId="28" applyNumberFormat="1" applyFont="1" applyFill="1" applyBorder="1" applyAlignment="1">
      <alignment horizontal="center" vertical="center"/>
    </xf>
    <xf numFmtId="0" fontId="1" fillId="0" borderId="14" xfId="0" applyFont="1" applyFill="1" applyBorder="1" applyAlignment="1">
      <alignment vertical="center"/>
    </xf>
    <xf numFmtId="0" fontId="27" fillId="0" borderId="31"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15" xfId="0" applyFont="1" applyFill="1" applyBorder="1" applyAlignment="1">
      <alignment horizontal="center" vertical="center" wrapText="1"/>
    </xf>
    <xf numFmtId="0" fontId="25" fillId="0" borderId="15" xfId="0" applyFont="1" applyFill="1" applyBorder="1" applyAlignment="1">
      <alignment horizontal="center" vertical="center"/>
    </xf>
    <xf numFmtId="0" fontId="24" fillId="0" borderId="15" xfId="0" applyFont="1" applyFill="1" applyBorder="1" applyAlignment="1">
      <alignment horizontal="center" vertical="center"/>
    </xf>
    <xf numFmtId="0" fontId="0" fillId="0" borderId="32" xfId="0" applyFill="1" applyBorder="1" applyAlignment="1">
      <alignment vertical="center"/>
    </xf>
    <xf numFmtId="0" fontId="27" fillId="0" borderId="11" xfId="0" applyFont="1" applyFill="1" applyBorder="1" applyAlignment="1">
      <alignment horizontal="center" vertical="center" wrapText="1"/>
    </xf>
    <xf numFmtId="0" fontId="27" fillId="0" borderId="12" xfId="0" applyFont="1" applyFill="1" applyBorder="1" applyAlignment="1">
      <alignment vertical="center"/>
    </xf>
    <xf numFmtId="43" fontId="1" fillId="0" borderId="11" xfId="28" applyFill="1" applyBorder="1" applyAlignment="1">
      <alignment vertical="center"/>
    </xf>
    <xf numFmtId="164" fontId="0" fillId="0" borderId="12" xfId="0" applyNumberFormat="1" applyFill="1" applyBorder="1" applyAlignment="1">
      <alignment vertical="center"/>
    </xf>
    <xf numFmtId="164" fontId="1" fillId="0" borderId="12" xfId="0" applyNumberFormat="1" applyFont="1" applyFill="1" applyBorder="1" applyAlignment="1">
      <alignment vertical="center"/>
    </xf>
    <xf numFmtId="0" fontId="0" fillId="0" borderId="23" xfId="0" applyFill="1" applyBorder="1" applyAlignment="1">
      <alignment vertical="center"/>
    </xf>
    <xf numFmtId="0" fontId="0" fillId="0" borderId="16" xfId="0" applyFill="1" applyBorder="1" applyAlignment="1">
      <alignment horizontal="center" vertical="center"/>
    </xf>
    <xf numFmtId="164" fontId="0" fillId="25" borderId="10" xfId="0" applyNumberFormat="1" applyFill="1" applyBorder="1" applyAlignment="1">
      <alignment vertical="center"/>
    </xf>
    <xf numFmtId="0" fontId="30" fillId="25" borderId="10" xfId="0" applyFont="1" applyFill="1" applyBorder="1" applyAlignment="1">
      <alignment horizontal="center" vertical="center" wrapText="1"/>
    </xf>
    <xf numFmtId="164" fontId="0" fillId="25" borderId="10" xfId="0" applyNumberFormat="1" applyFill="1" applyBorder="1" applyAlignment="1">
      <alignment vertical="center" wrapText="1"/>
    </xf>
    <xf numFmtId="0" fontId="30" fillId="25" borderId="10" xfId="0" applyFont="1" applyFill="1" applyBorder="1" applyAlignment="1">
      <alignment horizontal="center" vertical="center"/>
    </xf>
    <xf numFmtId="43" fontId="1" fillId="25" borderId="10" xfId="28" applyFont="1" applyFill="1" applyBorder="1" applyAlignment="1">
      <alignment horizontal="center" vertical="center"/>
    </xf>
    <xf numFmtId="0" fontId="21" fillId="25" borderId="0" xfId="0" applyFont="1" applyFill="1" applyAlignment="1">
      <alignment horizontal="right" vertical="center" wrapText="1"/>
    </xf>
    <xf numFmtId="10" fontId="20" fillId="25" borderId="0" xfId="42" applyNumberFormat="1" applyFont="1" applyFill="1" applyAlignment="1">
      <alignment horizontal="center" vertical="center" wrapText="1"/>
    </xf>
    <xf numFmtId="39" fontId="20" fillId="25" borderId="0" xfId="28" applyNumberFormat="1" applyFont="1" applyFill="1" applyBorder="1" applyAlignment="1">
      <alignment vertical="center"/>
    </xf>
    <xf numFmtId="0" fontId="32" fillId="25" borderId="0" xfId="0" applyFont="1" applyFill="1" applyAlignment="1">
      <alignment horizontal="right" vertical="center" wrapText="1"/>
    </xf>
    <xf numFmtId="43" fontId="1" fillId="25" borderId="22" xfId="28" applyFont="1" applyFill="1" applyBorder="1" applyAlignment="1">
      <alignment vertical="center"/>
    </xf>
    <xf numFmtId="43" fontId="1" fillId="25" borderId="22" xfId="28" applyFont="1" applyFill="1" applyBorder="1" applyAlignment="1">
      <alignment horizontal="center" vertical="center"/>
    </xf>
    <xf numFmtId="0" fontId="33" fillId="0" borderId="0" xfId="0" applyFont="1" applyFill="1" applyAlignment="1">
      <alignment horizontal="right" vertical="center" wrapText="1"/>
    </xf>
    <xf numFmtId="43" fontId="0" fillId="0" borderId="10" xfId="0" applyNumberFormat="1" applyFill="1" applyBorder="1" applyAlignment="1">
      <alignment vertical="center"/>
    </xf>
    <xf numFmtId="49" fontId="30" fillId="0" borderId="0" xfId="0" applyNumberFormat="1" applyFont="1" applyFill="1"/>
    <xf numFmtId="0" fontId="27" fillId="0" borderId="0" xfId="0" applyFont="1" applyFill="1" applyAlignment="1">
      <alignment horizontal="center"/>
    </xf>
    <xf numFmtId="44" fontId="27" fillId="27" borderId="0" xfId="0" applyNumberFormat="1" applyFont="1" applyFill="1" applyAlignment="1">
      <alignment horizontal="center"/>
    </xf>
    <xf numFmtId="0" fontId="27" fillId="0" borderId="0" xfId="0" applyFont="1" applyFill="1"/>
    <xf numFmtId="49" fontId="30" fillId="0" borderId="0" xfId="0" applyNumberFormat="1" applyFont="1"/>
    <xf numFmtId="0" fontId="27" fillId="0" borderId="0" xfId="0" applyFont="1" applyFill="1" applyAlignment="1">
      <alignment horizontal="center" wrapText="1"/>
    </xf>
    <xf numFmtId="44" fontId="27" fillId="0" borderId="0" xfId="0" applyNumberFormat="1" applyFont="1" applyFill="1" applyAlignment="1">
      <alignment horizontal="center"/>
    </xf>
    <xf numFmtId="44" fontId="35" fillId="0" borderId="0" xfId="0" applyNumberFormat="1" applyFont="1" applyFill="1" applyAlignment="1">
      <alignment horizontal="center"/>
    </xf>
    <xf numFmtId="0" fontId="35" fillId="0" borderId="0" xfId="0" applyFont="1" applyFill="1" applyAlignment="1">
      <alignment horizontal="center"/>
    </xf>
    <xf numFmtId="0" fontId="30" fillId="0" borderId="0" xfId="0" applyFont="1" applyFill="1"/>
    <xf numFmtId="44" fontId="30" fillId="0" borderId="0" xfId="0" applyNumberFormat="1" applyFont="1" applyFill="1"/>
    <xf numFmtId="49" fontId="30" fillId="0" borderId="0" xfId="0" applyNumberFormat="1" applyFont="1" applyFill="1" applyAlignment="1">
      <alignment wrapText="1"/>
    </xf>
    <xf numFmtId="44" fontId="37" fillId="0" borderId="0" xfId="0" applyNumberFormat="1" applyFont="1" applyFill="1"/>
    <xf numFmtId="0" fontId="30" fillId="27" borderId="0" xfId="0" applyFont="1" applyFill="1"/>
    <xf numFmtId="0" fontId="0" fillId="0" borderId="0" xfId="0" applyFill="1"/>
    <xf numFmtId="44" fontId="38" fillId="0" borderId="0" xfId="0" applyNumberFormat="1" applyFont="1" applyFill="1"/>
    <xf numFmtId="49" fontId="39" fillId="0" borderId="0" xfId="0" applyNumberFormat="1" applyFont="1"/>
    <xf numFmtId="44" fontId="30" fillId="0" borderId="0" xfId="0" applyNumberFormat="1" applyFont="1" applyFill="1" applyAlignment="1">
      <alignment horizontal="center" wrapText="1"/>
    </xf>
    <xf numFmtId="0" fontId="27" fillId="0" borderId="0" xfId="0" applyFont="1" applyFill="1" applyAlignment="1">
      <alignment horizontal="left" wrapText="1"/>
    </xf>
    <xf numFmtId="49" fontId="22" fillId="0" borderId="0" xfId="0" applyNumberFormat="1" applyFont="1"/>
    <xf numFmtId="44" fontId="27" fillId="0" borderId="0" xfId="29" applyFont="1" applyFill="1"/>
    <xf numFmtId="44" fontId="27" fillId="0" borderId="0" xfId="0" applyNumberFormat="1" applyFont="1" applyFill="1"/>
    <xf numFmtId="44" fontId="35" fillId="0" borderId="0" xfId="29" applyFont="1" applyFill="1"/>
    <xf numFmtId="44" fontId="27" fillId="27" borderId="0" xfId="0" applyNumberFormat="1" applyFont="1" applyFill="1"/>
    <xf numFmtId="0" fontId="38" fillId="0" borderId="0" xfId="0" applyFont="1" applyFill="1"/>
    <xf numFmtId="44" fontId="30" fillId="27" borderId="0" xfId="0" applyNumberFormat="1" applyFont="1" applyFill="1"/>
    <xf numFmtId="0" fontId="30" fillId="0" borderId="0" xfId="0" applyFont="1" applyFill="1" applyAlignment="1">
      <alignment wrapText="1"/>
    </xf>
    <xf numFmtId="44" fontId="43" fillId="27" borderId="0" xfId="29" applyFont="1" applyFill="1"/>
    <xf numFmtId="0" fontId="43" fillId="0" borderId="0" xfId="0" applyFont="1" applyFill="1"/>
    <xf numFmtId="44" fontId="44" fillId="27" borderId="0" xfId="29" applyFont="1" applyFill="1"/>
    <xf numFmtId="0" fontId="44" fillId="0" borderId="0" xfId="0" applyFont="1" applyFill="1"/>
    <xf numFmtId="49" fontId="44" fillId="0" borderId="0" xfId="0" applyNumberFormat="1" applyFont="1" applyFill="1"/>
    <xf numFmtId="49" fontId="43" fillId="0" borderId="0" xfId="0" applyNumberFormat="1" applyFont="1" applyFill="1"/>
    <xf numFmtId="44" fontId="43" fillId="0" borderId="0" xfId="29" applyFont="1" applyFill="1"/>
    <xf numFmtId="44" fontId="44" fillId="0" borderId="0" xfId="29" applyFont="1" applyFill="1"/>
    <xf numFmtId="44" fontId="30" fillId="0" borderId="0" xfId="29" applyFont="1" applyFill="1"/>
    <xf numFmtId="44" fontId="34" fillId="0" borderId="0" xfId="29" applyFont="1" applyFill="1"/>
    <xf numFmtId="44" fontId="27" fillId="0" borderId="0" xfId="29" applyNumberFormat="1" applyFont="1" applyFill="1"/>
    <xf numFmtId="44" fontId="35" fillId="0" borderId="0" xfId="29" applyNumberFormat="1" applyFont="1" applyFill="1"/>
    <xf numFmtId="0" fontId="27" fillId="0" borderId="0" xfId="0" applyFont="1" applyFill="1" applyAlignment="1">
      <alignment horizontal="right"/>
    </xf>
    <xf numFmtId="44" fontId="30" fillId="29" borderId="0" xfId="0" applyNumberFormat="1" applyFont="1" applyFill="1"/>
    <xf numFmtId="0" fontId="27" fillId="0" borderId="0" xfId="0" applyFont="1" applyFill="1" applyAlignment="1">
      <alignment horizontal="right" wrapText="1"/>
    </xf>
    <xf numFmtId="49" fontId="30" fillId="0" borderId="0" xfId="0" applyNumberFormat="1" applyFont="1" applyAlignment="1">
      <alignment wrapText="1"/>
    </xf>
    <xf numFmtId="0" fontId="27" fillId="0" borderId="0" xfId="0" applyFont="1"/>
    <xf numFmtId="44" fontId="27" fillId="31" borderId="0" xfId="29" applyFont="1" applyFill="1"/>
    <xf numFmtId="44" fontId="27" fillId="27" borderId="0" xfId="29" applyFont="1" applyFill="1"/>
    <xf numFmtId="0" fontId="40" fillId="0" borderId="0" xfId="0" applyFont="1" applyAlignment="1">
      <alignment wrapText="1"/>
    </xf>
    <xf numFmtId="1" fontId="0" fillId="0" borderId="0" xfId="0" applyNumberFormat="1"/>
    <xf numFmtId="1" fontId="43" fillId="0" borderId="0" xfId="0" applyNumberFormat="1" applyFont="1" applyFill="1"/>
    <xf numFmtId="168" fontId="43" fillId="0" borderId="0" xfId="46" applyFont="1" applyFill="1" applyAlignment="1" applyProtection="1">
      <alignment wrapText="1"/>
    </xf>
    <xf numFmtId="1" fontId="44" fillId="0" borderId="0" xfId="0" applyNumberFormat="1" applyFont="1" applyFill="1"/>
    <xf numFmtId="168" fontId="44" fillId="0" borderId="0" xfId="46" applyFont="1" applyFill="1" applyAlignment="1" applyProtection="1">
      <alignment wrapText="1"/>
    </xf>
    <xf numFmtId="1" fontId="0" fillId="0" borderId="0" xfId="0" applyNumberFormat="1" applyFill="1"/>
    <xf numFmtId="44" fontId="30" fillId="27" borderId="0" xfId="29" applyFont="1" applyFill="1"/>
    <xf numFmtId="0" fontId="30" fillId="0" borderId="0" xfId="0" applyFont="1" applyAlignment="1">
      <alignment wrapText="1"/>
    </xf>
    <xf numFmtId="44" fontId="27" fillId="30" borderId="0" xfId="29" applyNumberFormat="1" applyFont="1" applyFill="1"/>
    <xf numFmtId="44" fontId="27" fillId="27" borderId="0" xfId="29" applyNumberFormat="1" applyFont="1" applyFill="1"/>
    <xf numFmtId="1" fontId="27" fillId="0" borderId="0" xfId="0" applyNumberFormat="1" applyFont="1"/>
    <xf numFmtId="0" fontId="27" fillId="0" borderId="0" xfId="0" applyFont="1" applyAlignment="1">
      <alignment horizontal="right"/>
    </xf>
    <xf numFmtId="44" fontId="27" fillId="0" borderId="0" xfId="0" applyNumberFormat="1" applyFont="1"/>
    <xf numFmtId="44" fontId="27" fillId="29" borderId="0" xfId="0" applyNumberFormat="1" applyFont="1" applyFill="1"/>
    <xf numFmtId="0" fontId="30" fillId="0" borderId="0" xfId="0" applyFont="1"/>
    <xf numFmtId="44" fontId="30" fillId="0" borderId="0" xfId="0" applyNumberFormat="1" applyFont="1"/>
    <xf numFmtId="1" fontId="30" fillId="0" borderId="0" xfId="0" applyNumberFormat="1" applyFont="1"/>
    <xf numFmtId="0" fontId="27" fillId="0" borderId="0" xfId="0" applyFont="1" applyAlignment="1">
      <alignment horizontal="center" wrapText="1"/>
    </xf>
    <xf numFmtId="0" fontId="30" fillId="0" borderId="0" xfId="0" applyFont="1" applyFill="1" applyAlignment="1">
      <alignment horizontal="right"/>
    </xf>
    <xf numFmtId="9" fontId="30" fillId="0" borderId="0" xfId="42" applyFont="1" applyFill="1"/>
    <xf numFmtId="0" fontId="0" fillId="0" borderId="0" xfId="0" applyAlignment="1">
      <alignment wrapText="1"/>
    </xf>
    <xf numFmtId="49" fontId="27" fillId="0" borderId="0" xfId="0" applyNumberFormat="1" applyFont="1" applyAlignment="1">
      <alignment vertical="center"/>
    </xf>
    <xf numFmtId="0" fontId="30" fillId="0" borderId="0" xfId="0" applyFont="1" applyAlignment="1">
      <alignment vertical="center"/>
    </xf>
    <xf numFmtId="168" fontId="46" fillId="0" borderId="33" xfId="0" applyNumberFormat="1" applyFont="1" applyBorder="1" applyAlignment="1">
      <alignment horizontal="left" vertical="center"/>
    </xf>
    <xf numFmtId="168" fontId="23" fillId="0" borderId="34" xfId="0" applyNumberFormat="1" applyFont="1" applyBorder="1" applyAlignment="1">
      <alignment horizontal="right" vertical="center"/>
    </xf>
    <xf numFmtId="0" fontId="27" fillId="0" borderId="0" xfId="0" applyFont="1" applyAlignment="1">
      <alignment horizontal="center" vertical="center"/>
    </xf>
    <xf numFmtId="168" fontId="27" fillId="0" borderId="0" xfId="0" applyNumberFormat="1" applyFont="1" applyBorder="1" applyAlignment="1">
      <alignment horizontal="right" vertical="center"/>
    </xf>
    <xf numFmtId="1" fontId="47" fillId="0" borderId="0" xfId="0" applyNumberFormat="1" applyFont="1" applyBorder="1" applyAlignment="1">
      <alignment horizontal="center" vertical="center"/>
    </xf>
    <xf numFmtId="0" fontId="48" fillId="0" borderId="0" xfId="0" applyFont="1" applyFill="1" applyBorder="1" applyAlignment="1">
      <alignment vertical="center"/>
    </xf>
    <xf numFmtId="0" fontId="30" fillId="0" borderId="0" xfId="0" applyFont="1" applyFill="1" applyBorder="1" applyAlignment="1">
      <alignment vertical="center"/>
    </xf>
    <xf numFmtId="0" fontId="49" fillId="0" borderId="0" xfId="0" applyFont="1" applyFill="1" applyAlignment="1">
      <alignment horizontal="center" vertical="center"/>
    </xf>
    <xf numFmtId="0" fontId="27" fillId="0" borderId="33" xfId="0" applyFont="1" applyFill="1" applyBorder="1" applyAlignment="1">
      <alignment horizontal="center" vertical="center"/>
    </xf>
    <xf numFmtId="165" fontId="27" fillId="0" borderId="0" xfId="0" applyNumberFormat="1" applyFont="1" applyFill="1" applyBorder="1" applyAlignment="1">
      <alignment horizontal="center" vertical="center"/>
    </xf>
    <xf numFmtId="0" fontId="27" fillId="0" borderId="34" xfId="0" applyFont="1" applyFill="1" applyBorder="1" applyAlignment="1">
      <alignment horizontal="center" vertical="center"/>
    </xf>
    <xf numFmtId="1" fontId="27" fillId="0" borderId="0" xfId="0" applyNumberFormat="1" applyFont="1" applyFill="1" applyBorder="1" applyAlignment="1">
      <alignment horizontal="center" vertical="center"/>
    </xf>
    <xf numFmtId="0" fontId="50"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27" fillId="32" borderId="0" xfId="0" applyFont="1" applyFill="1" applyAlignment="1">
      <alignment vertical="center"/>
    </xf>
    <xf numFmtId="14" fontId="27" fillId="32" borderId="0" xfId="0" applyNumberFormat="1" applyFont="1" applyFill="1" applyAlignment="1">
      <alignment vertical="center"/>
    </xf>
    <xf numFmtId="9" fontId="27" fillId="32" borderId="33" xfId="0" applyNumberFormat="1" applyFont="1" applyFill="1" applyBorder="1" applyAlignment="1">
      <alignment vertical="center"/>
    </xf>
    <xf numFmtId="165" fontId="27" fillId="32" borderId="0" xfId="0" applyNumberFormat="1" applyFont="1" applyFill="1" applyBorder="1" applyAlignment="1">
      <alignment vertical="center"/>
    </xf>
    <xf numFmtId="0" fontId="27" fillId="32" borderId="34" xfId="0" applyFont="1" applyFill="1" applyBorder="1" applyAlignment="1">
      <alignment vertical="center"/>
    </xf>
    <xf numFmtId="49" fontId="27" fillId="32" borderId="0" xfId="0" applyNumberFormat="1" applyFont="1" applyFill="1" applyAlignment="1">
      <alignment vertical="center"/>
    </xf>
    <xf numFmtId="1" fontId="27" fillId="32" borderId="0" xfId="0" applyNumberFormat="1" applyFont="1" applyFill="1" applyBorder="1" applyAlignment="1">
      <alignment horizontal="center" vertical="center"/>
    </xf>
    <xf numFmtId="0" fontId="27" fillId="0" borderId="0" xfId="0" applyFont="1" applyFill="1" applyAlignment="1">
      <alignment vertical="center"/>
    </xf>
    <xf numFmtId="44" fontId="27" fillId="0" borderId="0" xfId="29" applyFont="1" applyFill="1" applyAlignment="1">
      <alignment vertical="center"/>
    </xf>
    <xf numFmtId="9" fontId="30" fillId="0" borderId="33" xfId="0" applyNumberFormat="1" applyFont="1" applyFill="1" applyBorder="1" applyAlignment="1">
      <alignment vertical="center"/>
    </xf>
    <xf numFmtId="165" fontId="30" fillId="0" borderId="0" xfId="0" applyNumberFormat="1" applyFont="1" applyFill="1" applyBorder="1" applyAlignment="1">
      <alignment vertical="center"/>
    </xf>
    <xf numFmtId="44" fontId="30" fillId="0" borderId="34" xfId="29" applyFont="1" applyFill="1" applyBorder="1" applyAlignment="1">
      <alignment vertical="center"/>
    </xf>
    <xf numFmtId="10" fontId="30" fillId="0" borderId="0" xfId="0" applyNumberFormat="1" applyFont="1" applyFill="1" applyAlignment="1">
      <alignment vertical="center"/>
    </xf>
    <xf numFmtId="1" fontId="30" fillId="0" borderId="0" xfId="0" applyNumberFormat="1" applyFont="1" applyFill="1" applyBorder="1" applyAlignment="1">
      <alignment horizontal="center" vertical="center"/>
    </xf>
    <xf numFmtId="14" fontId="30" fillId="0" borderId="0" xfId="0" applyNumberFormat="1" applyFont="1" applyFill="1" applyAlignment="1">
      <alignment vertical="center"/>
    </xf>
    <xf numFmtId="14" fontId="30" fillId="0" borderId="0" xfId="0" applyNumberFormat="1" applyFont="1" applyFill="1" applyAlignment="1">
      <alignment horizontal="right" vertical="center"/>
    </xf>
    <xf numFmtId="167" fontId="30" fillId="0" borderId="0" xfId="0" applyNumberFormat="1" applyFont="1" applyFill="1" applyBorder="1" applyAlignment="1">
      <alignment vertical="center"/>
    </xf>
    <xf numFmtId="0" fontId="30" fillId="0" borderId="34" xfId="0" applyFont="1" applyFill="1" applyBorder="1" applyAlignment="1">
      <alignment vertical="center"/>
    </xf>
    <xf numFmtId="44" fontId="51" fillId="0" borderId="0" xfId="0" applyNumberFormat="1" applyFont="1" applyFill="1" applyAlignment="1">
      <alignment vertical="center"/>
    </xf>
    <xf numFmtId="14" fontId="30" fillId="0" borderId="0" xfId="0" applyNumberFormat="1" applyFont="1" applyFill="1" applyAlignment="1">
      <alignment horizontal="left" vertical="center"/>
    </xf>
    <xf numFmtId="0" fontId="30" fillId="0" borderId="0" xfId="0" applyFont="1" applyFill="1" applyAlignment="1">
      <alignment vertical="center"/>
    </xf>
    <xf numFmtId="0" fontId="51" fillId="0" borderId="0" xfId="0" applyFont="1" applyFill="1" applyAlignment="1">
      <alignment vertical="center"/>
    </xf>
    <xf numFmtId="0" fontId="30" fillId="0" borderId="33" xfId="0" applyFont="1" applyFill="1" applyBorder="1" applyAlignment="1">
      <alignment vertical="center"/>
    </xf>
    <xf numFmtId="0" fontId="30" fillId="0" borderId="0" xfId="0" applyFont="1" applyFill="1" applyAlignment="1">
      <alignment horizontal="right" vertical="center"/>
    </xf>
    <xf numFmtId="9" fontId="27" fillId="0" borderId="33" xfId="0" applyNumberFormat="1" applyFont="1" applyFill="1" applyBorder="1" applyAlignment="1">
      <alignment vertical="center"/>
    </xf>
    <xf numFmtId="165" fontId="27" fillId="0" borderId="0" xfId="0" applyNumberFormat="1" applyFont="1" applyFill="1" applyBorder="1" applyAlignment="1">
      <alignment vertical="center"/>
    </xf>
    <xf numFmtId="0" fontId="27" fillId="0" borderId="34" xfId="0" applyFont="1" applyFill="1" applyBorder="1" applyAlignment="1">
      <alignment vertical="center"/>
    </xf>
    <xf numFmtId="0" fontId="50" fillId="0" borderId="0" xfId="0" applyFont="1" applyFill="1" applyBorder="1" applyAlignment="1">
      <alignment vertical="center"/>
    </xf>
    <xf numFmtId="0" fontId="27" fillId="0" borderId="0" xfId="0" applyFont="1" applyFill="1" applyBorder="1" applyAlignment="1">
      <alignment vertical="center"/>
    </xf>
    <xf numFmtId="165" fontId="30" fillId="0" borderId="0" xfId="0" applyNumberFormat="1" applyFont="1" applyAlignment="1">
      <alignment vertical="center"/>
    </xf>
    <xf numFmtId="1" fontId="30" fillId="0" borderId="0" xfId="0" applyNumberFormat="1" applyFont="1" applyAlignment="1">
      <alignment horizontal="center" vertical="center"/>
    </xf>
    <xf numFmtId="9" fontId="30" fillId="0" borderId="33" xfId="42" applyFont="1" applyFill="1" applyBorder="1" applyAlignment="1">
      <alignment vertical="center"/>
    </xf>
    <xf numFmtId="9" fontId="27" fillId="0" borderId="0" xfId="0" applyNumberFormat="1" applyFont="1" applyFill="1" applyBorder="1" applyAlignment="1">
      <alignment vertical="center"/>
    </xf>
    <xf numFmtId="9" fontId="30" fillId="29" borderId="33" xfId="0" applyNumberFormat="1" applyFont="1" applyFill="1" applyBorder="1" applyAlignment="1">
      <alignment vertical="center"/>
    </xf>
    <xf numFmtId="0" fontId="52" fillId="34" borderId="0" xfId="0" applyFont="1" applyFill="1" applyAlignment="1">
      <alignment vertical="center"/>
    </xf>
    <xf numFmtId="14" fontId="52" fillId="34" borderId="0" xfId="0" applyNumberFormat="1" applyFont="1" applyFill="1" applyAlignment="1">
      <alignment vertical="center"/>
    </xf>
    <xf numFmtId="9" fontId="52" fillId="34" borderId="33" xfId="0" applyNumberFormat="1" applyFont="1" applyFill="1" applyBorder="1" applyAlignment="1">
      <alignment vertical="center"/>
    </xf>
    <xf numFmtId="165" fontId="52" fillId="34" borderId="0" xfId="0" applyNumberFormat="1" applyFont="1" applyFill="1" applyBorder="1" applyAlignment="1">
      <alignment vertical="center"/>
    </xf>
    <xf numFmtId="0" fontId="52" fillId="34" borderId="34" xfId="0" applyFont="1" applyFill="1" applyBorder="1" applyAlignment="1">
      <alignment vertical="center"/>
    </xf>
    <xf numFmtId="49" fontId="52" fillId="34" borderId="0" xfId="0" applyNumberFormat="1" applyFont="1" applyFill="1" applyAlignment="1">
      <alignment vertical="center"/>
    </xf>
    <xf numFmtId="1" fontId="52" fillId="34" borderId="0" xfId="0" applyNumberFormat="1" applyFont="1" applyFill="1" applyBorder="1" applyAlignment="1">
      <alignment horizontal="center" vertical="center"/>
    </xf>
    <xf numFmtId="0" fontId="53" fillId="0" borderId="0" xfId="0" applyFont="1" applyFill="1" applyBorder="1" applyAlignment="1">
      <alignment vertical="center"/>
    </xf>
    <xf numFmtId="0" fontId="54" fillId="0" borderId="0" xfId="0" applyFont="1" applyFill="1" applyBorder="1" applyAlignment="1">
      <alignment vertical="center"/>
    </xf>
    <xf numFmtId="9" fontId="52" fillId="32" borderId="33" xfId="0" applyNumberFormat="1" applyFont="1" applyFill="1" applyBorder="1" applyAlignment="1">
      <alignment vertical="center"/>
    </xf>
    <xf numFmtId="165" fontId="52" fillId="32" borderId="0" xfId="0" applyNumberFormat="1" applyFont="1" applyFill="1" applyBorder="1" applyAlignment="1">
      <alignment vertical="center"/>
    </xf>
    <xf numFmtId="0" fontId="52" fillId="32" borderId="34" xfId="0" applyFont="1" applyFill="1" applyBorder="1" applyAlignment="1">
      <alignment vertical="center"/>
    </xf>
    <xf numFmtId="49" fontId="52" fillId="32" borderId="0" xfId="0" applyNumberFormat="1" applyFont="1" applyFill="1" applyBorder="1" applyAlignment="1">
      <alignment vertical="center"/>
    </xf>
    <xf numFmtId="1" fontId="52" fillId="32" borderId="0" xfId="0" applyNumberFormat="1" applyFont="1" applyFill="1" applyBorder="1" applyAlignment="1">
      <alignment horizontal="center" vertical="center"/>
    </xf>
    <xf numFmtId="0" fontId="54" fillId="32" borderId="0" xfId="0" applyFont="1" applyFill="1" applyBorder="1" applyAlignment="1">
      <alignment horizontal="left" vertical="center"/>
    </xf>
    <xf numFmtId="0" fontId="54" fillId="32" borderId="0" xfId="0" applyFont="1" applyFill="1" applyBorder="1" applyAlignment="1">
      <alignment vertical="center"/>
    </xf>
    <xf numFmtId="9" fontId="55" fillId="32" borderId="37" xfId="0" applyNumberFormat="1" applyFont="1" applyFill="1" applyBorder="1" applyAlignment="1">
      <alignment vertical="center"/>
    </xf>
    <xf numFmtId="165" fontId="55" fillId="32" borderId="35" xfId="0" applyNumberFormat="1" applyFont="1" applyFill="1" applyBorder="1" applyAlignment="1">
      <alignment vertical="center"/>
    </xf>
    <xf numFmtId="0" fontId="55" fillId="32" borderId="36" xfId="0" applyFont="1" applyFill="1" applyBorder="1" applyAlignment="1">
      <alignment vertical="center"/>
    </xf>
    <xf numFmtId="49" fontId="55" fillId="32" borderId="35" xfId="0" applyNumberFormat="1" applyFont="1" applyFill="1" applyBorder="1" applyAlignment="1">
      <alignment vertical="center"/>
    </xf>
    <xf numFmtId="1" fontId="55" fillId="32" borderId="35" xfId="0" applyNumberFormat="1" applyFont="1" applyFill="1" applyBorder="1" applyAlignment="1">
      <alignment horizontal="center" vertical="center"/>
    </xf>
    <xf numFmtId="0" fontId="56" fillId="32" borderId="35" xfId="0" applyFont="1" applyFill="1" applyBorder="1" applyAlignment="1">
      <alignment horizontal="left" vertical="center"/>
    </xf>
    <xf numFmtId="0" fontId="56" fillId="32" borderId="35" xfId="0" applyFont="1" applyFill="1" applyBorder="1" applyAlignment="1">
      <alignment vertical="center"/>
    </xf>
    <xf numFmtId="0" fontId="56" fillId="0" borderId="0" xfId="0" applyFont="1" applyFill="1" applyBorder="1" applyAlignment="1">
      <alignment vertical="center"/>
    </xf>
    <xf numFmtId="0" fontId="55" fillId="0" borderId="0" xfId="0" applyFont="1" applyFill="1"/>
    <xf numFmtId="14" fontId="55" fillId="32" borderId="0" xfId="0" applyNumberFormat="1" applyFont="1" applyFill="1" applyAlignment="1">
      <alignment vertical="center"/>
    </xf>
    <xf numFmtId="49" fontId="57" fillId="32" borderId="0" xfId="0" applyNumberFormat="1" applyFont="1" applyFill="1" applyAlignment="1">
      <alignment vertical="center"/>
    </xf>
    <xf numFmtId="165" fontId="57" fillId="32" borderId="0" xfId="0" applyNumberFormat="1" applyFont="1" applyFill="1" applyBorder="1" applyAlignment="1">
      <alignment vertical="center"/>
    </xf>
    <xf numFmtId="1" fontId="57" fillId="32" borderId="0" xfId="0" applyNumberFormat="1" applyFont="1" applyFill="1" applyBorder="1" applyAlignment="1">
      <alignment horizontal="center" vertical="center"/>
    </xf>
    <xf numFmtId="44" fontId="30" fillId="0" borderId="0" xfId="0" applyNumberFormat="1" applyFont="1" applyAlignment="1">
      <alignment vertical="center"/>
    </xf>
    <xf numFmtId="49" fontId="27" fillId="0" borderId="0" xfId="0" applyNumberFormat="1" applyFont="1"/>
    <xf numFmtId="44" fontId="0" fillId="0" borderId="0" xfId="0" applyNumberFormat="1"/>
    <xf numFmtId="0" fontId="38" fillId="0" borderId="0" xfId="0" applyFont="1"/>
    <xf numFmtId="49" fontId="59" fillId="0" borderId="0" xfId="0" applyNumberFormat="1" applyFont="1"/>
    <xf numFmtId="0" fontId="60" fillId="0" borderId="0" xfId="0" applyFont="1"/>
    <xf numFmtId="44" fontId="60" fillId="0" borderId="0" xfId="0" applyNumberFormat="1" applyFont="1"/>
    <xf numFmtId="44" fontId="0" fillId="0" borderId="0" xfId="0" applyNumberFormat="1" applyFill="1"/>
    <xf numFmtId="44" fontId="37" fillId="0" borderId="0" xfId="0" applyNumberFormat="1" applyFont="1"/>
    <xf numFmtId="44" fontId="30" fillId="0" borderId="0" xfId="0" applyNumberFormat="1" applyFont="1" applyFill="1" applyAlignment="1">
      <alignment horizontal="right"/>
    </xf>
    <xf numFmtId="49" fontId="61" fillId="0" borderId="0" xfId="0" applyNumberFormat="1" applyFont="1" applyAlignment="1">
      <alignment horizontal="center" wrapText="1"/>
    </xf>
    <xf numFmtId="49" fontId="27" fillId="0" borderId="0" xfId="0" applyNumberFormat="1" applyFont="1" applyFill="1"/>
    <xf numFmtId="44" fontId="62" fillId="0" borderId="0" xfId="29" applyFont="1" applyFill="1"/>
    <xf numFmtId="0" fontId="62" fillId="0" borderId="0" xfId="0" applyFont="1" applyFill="1"/>
    <xf numFmtId="49" fontId="55" fillId="0" borderId="0" xfId="0" applyNumberFormat="1" applyFont="1" applyFill="1"/>
    <xf numFmtId="44" fontId="55" fillId="0" borderId="0" xfId="29" applyFont="1" applyFill="1"/>
    <xf numFmtId="49" fontId="43" fillId="0" borderId="0" xfId="36" applyNumberFormat="1" applyFont="1" applyFill="1" applyAlignment="1" applyProtection="1"/>
    <xf numFmtId="44" fontId="43" fillId="0" borderId="0" xfId="0" applyNumberFormat="1" applyFont="1" applyFill="1"/>
    <xf numFmtId="49" fontId="44" fillId="0" borderId="0" xfId="36" applyNumberFormat="1" applyFont="1" applyFill="1" applyAlignment="1" applyProtection="1"/>
    <xf numFmtId="44" fontId="44" fillId="0" borderId="0" xfId="0" applyNumberFormat="1" applyFont="1" applyFill="1"/>
    <xf numFmtId="0" fontId="35" fillId="0" borderId="0" xfId="0" applyFont="1" applyFill="1"/>
    <xf numFmtId="0" fontId="35" fillId="0" borderId="0" xfId="0" applyFont="1"/>
    <xf numFmtId="0" fontId="27" fillId="0" borderId="0" xfId="0" applyFont="1" applyFill="1" applyAlignment="1">
      <alignment horizontal="left"/>
    </xf>
    <xf numFmtId="0" fontId="0" fillId="0" borderId="0" xfId="0" applyAlignment="1">
      <alignment horizontal="left"/>
    </xf>
    <xf numFmtId="44" fontId="34" fillId="0" borderId="0" xfId="0" applyNumberFormat="1" applyFont="1" applyFill="1"/>
    <xf numFmtId="0" fontId="30" fillId="0" borderId="0" xfId="0" applyFont="1" applyFill="1" applyAlignment="1">
      <alignment horizontal="left"/>
    </xf>
    <xf numFmtId="49" fontId="41" fillId="0" borderId="0" xfId="0" applyNumberFormat="1" applyFont="1" applyFill="1"/>
    <xf numFmtId="0" fontId="43" fillId="0" borderId="0" xfId="0" applyFont="1" applyFill="1" applyAlignment="1">
      <alignment horizontal="left"/>
    </xf>
    <xf numFmtId="0" fontId="44" fillId="0" borderId="0" xfId="0" applyFont="1" applyFill="1" applyAlignment="1">
      <alignment horizontal="left"/>
    </xf>
    <xf numFmtId="49" fontId="30" fillId="0" borderId="0" xfId="0" applyNumberFormat="1" applyFont="1" applyFill="1" applyAlignment="1">
      <alignment horizontal="left"/>
    </xf>
    <xf numFmtId="0" fontId="27" fillId="0" borderId="0" xfId="0" applyFont="1" applyAlignment="1">
      <alignment horizontal="left"/>
    </xf>
    <xf numFmtId="0" fontId="63" fillId="0" borderId="38" xfId="0" applyFont="1" applyFill="1" applyBorder="1" applyAlignment="1">
      <alignment horizontal="center" vertical="center" wrapText="1"/>
    </xf>
    <xf numFmtId="49" fontId="27" fillId="35" borderId="39" xfId="0" applyNumberFormat="1" applyFont="1" applyFill="1" applyBorder="1" applyAlignment="1">
      <alignment horizontal="center" vertical="center" wrapText="1"/>
    </xf>
    <xf numFmtId="49" fontId="27" fillId="36" borderId="39" xfId="0" applyNumberFormat="1" applyFont="1" applyFill="1" applyBorder="1" applyAlignment="1">
      <alignment horizontal="center" vertical="center" wrapText="1"/>
    </xf>
    <xf numFmtId="49" fontId="27" fillId="33" borderId="39" xfId="0" applyNumberFormat="1" applyFont="1" applyFill="1" applyBorder="1" applyAlignment="1">
      <alignment horizontal="center" vertical="center" wrapText="1"/>
    </xf>
    <xf numFmtId="0" fontId="27" fillId="0" borderId="0" xfId="0" applyFont="1" applyAlignment="1">
      <alignment horizontal="center" vertical="center" wrapText="1"/>
    </xf>
    <xf numFmtId="0" fontId="27" fillId="0" borderId="41" xfId="0" applyFont="1" applyFill="1" applyBorder="1" applyAlignment="1">
      <alignment horizontal="right" vertical="center" wrapText="1"/>
    </xf>
    <xf numFmtId="0" fontId="0" fillId="35" borderId="42" xfId="0" applyFill="1" applyBorder="1" applyAlignment="1">
      <alignment horizontal="center" vertical="center" wrapText="1"/>
    </xf>
    <xf numFmtId="0" fontId="0" fillId="36" borderId="42" xfId="0" applyFill="1" applyBorder="1" applyAlignment="1">
      <alignment horizontal="center" vertical="center" wrapText="1"/>
    </xf>
    <xf numFmtId="0" fontId="0" fillId="33" borderId="42" xfId="0" applyFill="1" applyBorder="1" applyAlignment="1">
      <alignment horizontal="center" vertical="center" wrapText="1"/>
    </xf>
    <xf numFmtId="0" fontId="0" fillId="33" borderId="43" xfId="0" applyFill="1" applyBorder="1" applyAlignment="1">
      <alignment horizontal="center" vertical="center" wrapText="1"/>
    </xf>
    <xf numFmtId="0" fontId="0" fillId="0" borderId="0" xfId="0" applyAlignment="1">
      <alignment horizontal="center" vertical="center" wrapText="1"/>
    </xf>
    <xf numFmtId="14" fontId="0" fillId="35" borderId="42" xfId="0" applyNumberFormat="1" applyFill="1" applyBorder="1" applyAlignment="1">
      <alignment horizontal="center" vertical="center"/>
    </xf>
    <xf numFmtId="3" fontId="0" fillId="36" borderId="42" xfId="0" applyNumberFormat="1" applyFill="1" applyBorder="1" applyAlignment="1">
      <alignment horizontal="center" vertical="center"/>
    </xf>
    <xf numFmtId="166" fontId="0" fillId="33" borderId="42" xfId="0" applyNumberFormat="1" applyFill="1" applyBorder="1" applyAlignment="1">
      <alignment horizontal="center" vertical="center" wrapText="1"/>
    </xf>
    <xf numFmtId="166" fontId="0" fillId="33" borderId="0" xfId="0" applyNumberFormat="1" applyFill="1" applyBorder="1" applyAlignment="1">
      <alignment horizontal="center" vertical="center" wrapText="1"/>
    </xf>
    <xf numFmtId="0" fontId="0" fillId="0" borderId="0" xfId="0" applyAlignment="1">
      <alignment horizontal="center" vertical="center"/>
    </xf>
    <xf numFmtId="0" fontId="0" fillId="0" borderId="41" xfId="0" applyFill="1" applyBorder="1" applyAlignment="1">
      <alignment horizontal="right"/>
    </xf>
    <xf numFmtId="3" fontId="64" fillId="35" borderId="44" xfId="0" applyNumberFormat="1" applyFont="1" applyFill="1" applyBorder="1"/>
    <xf numFmtId="3" fontId="64" fillId="36" borderId="44" xfId="0" applyNumberFormat="1" applyFont="1" applyFill="1" applyBorder="1"/>
    <xf numFmtId="166" fontId="0" fillId="33" borderId="44" xfId="0" applyNumberFormat="1" applyFill="1" applyBorder="1" applyAlignment="1">
      <alignment horizontal="center" vertical="center" wrapText="1"/>
    </xf>
    <xf numFmtId="166" fontId="0" fillId="33" borderId="45" xfId="0" applyNumberFormat="1" applyFill="1" applyBorder="1" applyAlignment="1">
      <alignment horizontal="center" vertical="center" wrapText="1"/>
    </xf>
    <xf numFmtId="0" fontId="27" fillId="0" borderId="41" xfId="0" applyFont="1" applyFill="1" applyBorder="1"/>
    <xf numFmtId="3" fontId="27" fillId="35" borderId="46" xfId="0" applyNumberFormat="1" applyFont="1" applyFill="1" applyBorder="1"/>
    <xf numFmtId="3" fontId="27" fillId="36" borderId="46" xfId="0" applyNumberFormat="1" applyFont="1" applyFill="1" applyBorder="1"/>
    <xf numFmtId="3" fontId="27" fillId="33" borderId="46" xfId="0" applyNumberFormat="1" applyFont="1" applyFill="1" applyBorder="1"/>
    <xf numFmtId="3" fontId="27" fillId="33" borderId="40" xfId="0" applyNumberFormat="1" applyFont="1" applyFill="1" applyBorder="1"/>
    <xf numFmtId="0" fontId="0" fillId="0" borderId="41" xfId="0" applyFill="1" applyBorder="1"/>
    <xf numFmtId="3" fontId="30" fillId="35" borderId="46" xfId="0" applyNumberFormat="1" applyFont="1" applyFill="1" applyBorder="1"/>
    <xf numFmtId="3" fontId="30" fillId="36" borderId="46" xfId="0" applyNumberFormat="1" applyFont="1" applyFill="1" applyBorder="1"/>
    <xf numFmtId="3" fontId="30" fillId="33" borderId="46" xfId="0" applyNumberFormat="1" applyFont="1" applyFill="1" applyBorder="1"/>
    <xf numFmtId="3" fontId="30" fillId="33" borderId="40" xfId="0" applyNumberFormat="1" applyFont="1" applyFill="1" applyBorder="1"/>
    <xf numFmtId="0" fontId="65" fillId="0" borderId="41" xfId="0" applyFont="1" applyFill="1" applyBorder="1"/>
    <xf numFmtId="0" fontId="65" fillId="0" borderId="0" xfId="0" applyFont="1"/>
    <xf numFmtId="0" fontId="30" fillId="0" borderId="41" xfId="0" applyFont="1" applyFill="1" applyBorder="1"/>
    <xf numFmtId="0" fontId="66" fillId="0" borderId="41" xfId="0" applyFont="1" applyFill="1" applyBorder="1"/>
    <xf numFmtId="0" fontId="66" fillId="0" borderId="0" xfId="0" applyFont="1"/>
    <xf numFmtId="3" fontId="36" fillId="35" borderId="46" xfId="0" applyNumberFormat="1" applyFont="1" applyFill="1" applyBorder="1"/>
    <xf numFmtId="3" fontId="67" fillId="35" borderId="46" xfId="0" applyNumberFormat="1" applyFont="1" applyFill="1" applyBorder="1"/>
    <xf numFmtId="0" fontId="27" fillId="0" borderId="47" xfId="0" applyFont="1" applyFill="1" applyBorder="1"/>
    <xf numFmtId="3" fontId="27" fillId="35" borderId="48" xfId="0" applyNumberFormat="1" applyFont="1" applyFill="1" applyBorder="1"/>
    <xf numFmtId="3" fontId="27" fillId="36" borderId="48" xfId="0" applyNumberFormat="1" applyFont="1" applyFill="1" applyBorder="1"/>
    <xf numFmtId="3" fontId="27" fillId="33" borderId="48" xfId="0" applyNumberFormat="1" applyFont="1" applyFill="1" applyBorder="1"/>
    <xf numFmtId="0" fontId="0" fillId="30" borderId="0" xfId="0" applyFill="1"/>
    <xf numFmtId="49" fontId="27" fillId="0" borderId="39" xfId="0" applyNumberFormat="1" applyFont="1" applyFill="1" applyBorder="1" applyAlignment="1">
      <alignment horizontal="center" vertical="center" wrapText="1"/>
    </xf>
    <xf numFmtId="0" fontId="0" fillId="0" borderId="43" xfId="0" applyFill="1" applyBorder="1" applyAlignment="1">
      <alignment horizontal="center" vertical="center" wrapText="1"/>
    </xf>
    <xf numFmtId="166" fontId="0" fillId="0" borderId="0" xfId="0" applyNumberFormat="1" applyFill="1" applyBorder="1" applyAlignment="1">
      <alignment horizontal="center" vertical="center" wrapText="1"/>
    </xf>
    <xf numFmtId="166" fontId="0" fillId="0" borderId="45" xfId="0" applyNumberFormat="1" applyFill="1" applyBorder="1" applyAlignment="1">
      <alignment horizontal="center" vertical="center" wrapText="1"/>
    </xf>
    <xf numFmtId="3" fontId="27" fillId="0" borderId="40" xfId="0" applyNumberFormat="1" applyFont="1" applyFill="1" applyBorder="1"/>
    <xf numFmtId="3" fontId="30" fillId="0" borderId="40" xfId="0" applyNumberFormat="1" applyFont="1" applyFill="1" applyBorder="1"/>
    <xf numFmtId="3" fontId="30" fillId="0" borderId="46" xfId="0" applyNumberFormat="1" applyFont="1" applyFill="1" applyBorder="1"/>
    <xf numFmtId="3" fontId="27" fillId="0" borderId="46" xfId="0" applyNumberFormat="1" applyFont="1" applyFill="1" applyBorder="1"/>
    <xf numFmtId="3" fontId="27" fillId="0" borderId="48" xfId="0" applyNumberFormat="1" applyFont="1" applyFill="1" applyBorder="1"/>
    <xf numFmtId="4" fontId="43" fillId="0" borderId="0" xfId="0" applyNumberFormat="1" applyFont="1" applyFill="1"/>
    <xf numFmtId="0" fontId="43" fillId="0" borderId="0" xfId="0" applyFont="1" applyFill="1" applyAlignment="1">
      <alignment wrapText="1"/>
    </xf>
    <xf numFmtId="43" fontId="43" fillId="0" borderId="0" xfId="29" applyNumberFormat="1" applyFont="1" applyFill="1"/>
    <xf numFmtId="0" fontId="69" fillId="0" borderId="0" xfId="0" applyFont="1" applyFill="1" applyAlignment="1">
      <alignment vertical="center"/>
    </xf>
    <xf numFmtId="44" fontId="69" fillId="0" borderId="0" xfId="29" applyFont="1" applyFill="1" applyAlignment="1">
      <alignment vertical="center"/>
    </xf>
    <xf numFmtId="9" fontId="58" fillId="0" borderId="33" xfId="0" applyNumberFormat="1" applyFont="1" applyBorder="1" applyAlignment="1">
      <alignment vertical="center"/>
    </xf>
    <xf numFmtId="165" fontId="58" fillId="0" borderId="0" xfId="0" applyNumberFormat="1" applyFont="1" applyBorder="1" applyAlignment="1">
      <alignment vertical="center"/>
    </xf>
    <xf numFmtId="167" fontId="58" fillId="0" borderId="34" xfId="29" applyNumberFormat="1" applyFont="1" applyFill="1" applyBorder="1" applyAlignment="1">
      <alignment vertical="center"/>
    </xf>
    <xf numFmtId="9" fontId="58" fillId="0" borderId="0" xfId="0" applyNumberFormat="1" applyFont="1" applyBorder="1" applyAlignment="1">
      <alignment vertical="center"/>
    </xf>
    <xf numFmtId="1" fontId="58" fillId="0" borderId="0" xfId="0" applyNumberFormat="1" applyFont="1" applyBorder="1" applyAlignment="1">
      <alignment horizontal="center" vertical="center"/>
    </xf>
    <xf numFmtId="0" fontId="58" fillId="0" borderId="0" xfId="0" applyFont="1" applyFill="1" applyBorder="1" applyAlignment="1">
      <alignment vertical="center"/>
    </xf>
    <xf numFmtId="0" fontId="69" fillId="0" borderId="0" xfId="0" applyFont="1" applyFill="1"/>
    <xf numFmtId="0" fontId="58" fillId="0" borderId="0" xfId="0" applyFont="1" applyFill="1" applyAlignment="1">
      <alignment vertical="center"/>
    </xf>
    <xf numFmtId="0" fontId="58" fillId="0" borderId="0" xfId="0" applyFont="1" applyFill="1" applyAlignment="1">
      <alignment horizontal="right" vertical="center"/>
    </xf>
    <xf numFmtId="9" fontId="58" fillId="0" borderId="0" xfId="0" applyNumberFormat="1" applyFont="1" applyFill="1" applyBorder="1" applyAlignment="1">
      <alignment vertical="center"/>
    </xf>
    <xf numFmtId="167" fontId="58" fillId="0" borderId="0" xfId="0" applyNumberFormat="1" applyFont="1" applyFill="1" applyBorder="1" applyAlignment="1">
      <alignment vertical="center"/>
    </xf>
    <xf numFmtId="1" fontId="58" fillId="0" borderId="0" xfId="0" applyNumberFormat="1" applyFont="1" applyFill="1" applyBorder="1" applyAlignment="1">
      <alignment horizontal="center" vertical="center"/>
    </xf>
    <xf numFmtId="44" fontId="58" fillId="0" borderId="0" xfId="29" applyFont="1" applyFill="1" applyAlignment="1">
      <alignment vertical="center"/>
    </xf>
    <xf numFmtId="14" fontId="58" fillId="0" borderId="0" xfId="0" applyNumberFormat="1" applyFont="1" applyFill="1" applyAlignment="1">
      <alignment horizontal="right" vertical="center"/>
    </xf>
    <xf numFmtId="9" fontId="58" fillId="0" borderId="33" xfId="0" applyNumberFormat="1" applyFont="1" applyFill="1" applyBorder="1" applyAlignment="1">
      <alignment vertical="center"/>
    </xf>
    <xf numFmtId="10" fontId="58" fillId="0" borderId="0" xfId="0" applyNumberFormat="1" applyFont="1" applyFill="1" applyAlignment="1">
      <alignment vertical="center"/>
    </xf>
    <xf numFmtId="14" fontId="69" fillId="0" borderId="0" xfId="0" applyNumberFormat="1" applyFont="1" applyFill="1" applyAlignment="1">
      <alignment horizontal="right" vertical="center"/>
    </xf>
    <xf numFmtId="9" fontId="69" fillId="0" borderId="33" xfId="0" applyNumberFormat="1" applyFont="1" applyBorder="1" applyAlignment="1">
      <alignment horizontal="center" vertical="center"/>
    </xf>
    <xf numFmtId="165" fontId="69" fillId="0" borderId="34" xfId="29" applyNumberFormat="1" applyFont="1" applyFill="1" applyBorder="1" applyAlignment="1">
      <alignment vertical="center"/>
    </xf>
    <xf numFmtId="9" fontId="69" fillId="0" borderId="33" xfId="0" applyNumberFormat="1" applyFont="1" applyBorder="1" applyAlignment="1">
      <alignment vertical="center"/>
    </xf>
    <xf numFmtId="9" fontId="69" fillId="0" borderId="0" xfId="0" applyNumberFormat="1" applyFont="1" applyFill="1" applyBorder="1" applyAlignment="1">
      <alignment vertical="center"/>
    </xf>
    <xf numFmtId="165" fontId="69" fillId="0" borderId="0" xfId="0" applyNumberFormat="1" applyFont="1" applyFill="1" applyBorder="1" applyAlignment="1">
      <alignment vertical="center"/>
    </xf>
    <xf numFmtId="1" fontId="69" fillId="0" borderId="0" xfId="0" applyNumberFormat="1" applyFont="1" applyFill="1" applyBorder="1" applyAlignment="1">
      <alignment horizontal="center" vertical="center"/>
    </xf>
    <xf numFmtId="0" fontId="69" fillId="0" borderId="0" xfId="0" applyFont="1" applyFill="1" applyBorder="1" applyAlignment="1">
      <alignment vertical="center"/>
    </xf>
    <xf numFmtId="9" fontId="58" fillId="0" borderId="33" xfId="0" applyNumberFormat="1" applyFont="1" applyFill="1" applyBorder="1" applyAlignment="1">
      <alignment horizontal="center" vertical="center"/>
    </xf>
    <xf numFmtId="0" fontId="58" fillId="0" borderId="34" xfId="0" applyFont="1" applyFill="1" applyBorder="1" applyAlignment="1">
      <alignment vertical="center"/>
    </xf>
    <xf numFmtId="167" fontId="69" fillId="0" borderId="0" xfId="0" applyNumberFormat="1" applyFont="1" applyBorder="1" applyAlignment="1">
      <alignment vertical="center"/>
    </xf>
    <xf numFmtId="0" fontId="69" fillId="0" borderId="34" xfId="0" applyFont="1" applyBorder="1" applyAlignment="1">
      <alignment vertical="center"/>
    </xf>
    <xf numFmtId="1" fontId="69" fillId="0" borderId="0" xfId="0" applyNumberFormat="1" applyFont="1" applyBorder="1" applyAlignment="1">
      <alignment horizontal="center" vertical="center"/>
    </xf>
    <xf numFmtId="167" fontId="58" fillId="0" borderId="0" xfId="0" applyNumberFormat="1" applyFont="1" applyFill="1" applyBorder="1"/>
    <xf numFmtId="9" fontId="69" fillId="0" borderId="33" xfId="0" applyNumberFormat="1" applyFont="1" applyFill="1" applyBorder="1" applyAlignment="1">
      <alignment horizontal="center" vertical="center"/>
    </xf>
    <xf numFmtId="9" fontId="58" fillId="29" borderId="33" xfId="0" applyNumberFormat="1" applyFont="1" applyFill="1" applyBorder="1" applyAlignment="1">
      <alignment vertical="center"/>
    </xf>
    <xf numFmtId="44" fontId="60" fillId="29" borderId="0" xfId="0" applyNumberFormat="1" applyFont="1" applyFill="1"/>
    <xf numFmtId="44" fontId="30" fillId="29" borderId="0" xfId="0" applyNumberFormat="1" applyFont="1" applyFill="1" applyAlignment="1">
      <alignment horizontal="right"/>
    </xf>
    <xf numFmtId="44" fontId="43" fillId="29" borderId="0" xfId="29" applyFont="1" applyFill="1"/>
    <xf numFmtId="44" fontId="44" fillId="29" borderId="0" xfId="29" applyFont="1" applyFill="1"/>
    <xf numFmtId="44" fontId="55" fillId="29" borderId="0" xfId="29" applyFont="1" applyFill="1"/>
    <xf numFmtId="44" fontId="0" fillId="29" borderId="0" xfId="0" applyNumberFormat="1" applyFill="1"/>
    <xf numFmtId="44" fontId="30" fillId="29" borderId="0" xfId="29" applyFont="1" applyFill="1"/>
    <xf numFmtId="44" fontId="27" fillId="29" borderId="0" xfId="29" applyFont="1" applyFill="1"/>
    <xf numFmtId="44" fontId="27" fillId="29" borderId="0" xfId="29" applyNumberFormat="1" applyFont="1" applyFill="1"/>
    <xf numFmtId="4" fontId="44" fillId="0" borderId="0" xfId="0" applyNumberFormat="1" applyFont="1" applyFill="1"/>
    <xf numFmtId="0" fontId="44" fillId="0" borderId="0" xfId="0" applyFont="1" applyFill="1" applyAlignment="1">
      <alignment wrapText="1"/>
    </xf>
    <xf numFmtId="0" fontId="30" fillId="0" borderId="0" xfId="0" applyFont="1" applyAlignment="1">
      <alignment horizontal="left" vertical="center"/>
    </xf>
    <xf numFmtId="0" fontId="49" fillId="0" borderId="0" xfId="0" applyFont="1" applyFill="1" applyAlignment="1">
      <alignment horizontal="left" vertical="center"/>
    </xf>
    <xf numFmtId="14" fontId="27" fillId="32" borderId="0" xfId="0" applyNumberFormat="1" applyFont="1" applyFill="1" applyAlignment="1">
      <alignment horizontal="left" vertical="center"/>
    </xf>
    <xf numFmtId="44" fontId="27" fillId="0" borderId="0" xfId="29" applyFont="1" applyFill="1" applyAlignment="1">
      <alignment horizontal="left" vertical="center"/>
    </xf>
    <xf numFmtId="0" fontId="30" fillId="0" borderId="0" xfId="0" applyFont="1" applyFill="1" applyAlignment="1">
      <alignment horizontal="left" vertical="center"/>
    </xf>
    <xf numFmtId="0" fontId="27" fillId="0" borderId="0" xfId="0" applyFont="1" applyFill="1" applyAlignment="1">
      <alignment horizontal="left" vertical="center"/>
    </xf>
    <xf numFmtId="14" fontId="52" fillId="34" borderId="0" xfId="0" applyNumberFormat="1" applyFont="1" applyFill="1" applyAlignment="1">
      <alignment horizontal="left" vertical="center"/>
    </xf>
    <xf numFmtId="14" fontId="55" fillId="32" borderId="0" xfId="0" applyNumberFormat="1" applyFont="1" applyFill="1" applyAlignment="1">
      <alignment horizontal="left" vertical="center"/>
    </xf>
    <xf numFmtId="44" fontId="69" fillId="0" borderId="0" xfId="29" applyFont="1" applyFill="1" applyAlignment="1">
      <alignment horizontal="left" vertical="center"/>
    </xf>
    <xf numFmtId="0" fontId="58" fillId="0" borderId="0" xfId="0" applyFont="1" applyFill="1" applyAlignment="1">
      <alignment horizontal="left" vertical="center"/>
    </xf>
    <xf numFmtId="14" fontId="58" fillId="0" borderId="0" xfId="0" applyNumberFormat="1" applyFont="1" applyFill="1" applyAlignment="1">
      <alignment horizontal="left" vertical="center"/>
    </xf>
    <xf numFmtId="14" fontId="69" fillId="0" borderId="0" xfId="0" applyNumberFormat="1" applyFont="1" applyFill="1" applyAlignment="1">
      <alignment horizontal="left" vertical="center"/>
    </xf>
    <xf numFmtId="0" fontId="69" fillId="0" borderId="0" xfId="0" applyFont="1" applyFill="1" applyAlignment="1">
      <alignment horizontal="left" vertical="center"/>
    </xf>
    <xf numFmtId="49" fontId="43" fillId="0" borderId="0" xfId="36" applyNumberFormat="1" applyFont="1" applyFill="1" applyAlignment="1" applyProtection="1">
      <alignment horizontal="left"/>
    </xf>
    <xf numFmtId="49" fontId="44" fillId="0" borderId="0" xfId="36" applyNumberFormat="1" applyFont="1" applyFill="1" applyAlignment="1" applyProtection="1">
      <alignment horizontal="left"/>
    </xf>
    <xf numFmtId="49" fontId="27" fillId="30" borderId="49" xfId="0" applyNumberFormat="1" applyFont="1" applyFill="1" applyBorder="1" applyAlignment="1">
      <alignment horizontal="center" vertical="center" wrapText="1"/>
    </xf>
    <xf numFmtId="0" fontId="0" fillId="30" borderId="50" xfId="0" applyFill="1" applyBorder="1" applyAlignment="1">
      <alignment horizontal="center" vertical="center" wrapText="1"/>
    </xf>
    <xf numFmtId="14" fontId="0" fillId="30" borderId="50" xfId="0" applyNumberFormat="1" applyFill="1" applyBorder="1" applyAlignment="1">
      <alignment horizontal="center" vertical="center"/>
    </xf>
    <xf numFmtId="3" fontId="64" fillId="30" borderId="51" xfId="0" applyNumberFormat="1" applyFont="1" applyFill="1" applyBorder="1"/>
    <xf numFmtId="3" fontId="27" fillId="30" borderId="52" xfId="0" applyNumberFormat="1" applyFont="1" applyFill="1" applyBorder="1"/>
    <xf numFmtId="3" fontId="30" fillId="30" borderId="52" xfId="0" applyNumberFormat="1" applyFont="1" applyFill="1" applyBorder="1"/>
    <xf numFmtId="3" fontId="27" fillId="30" borderId="53" xfId="0" applyNumberFormat="1" applyFont="1" applyFill="1" applyBorder="1"/>
    <xf numFmtId="0" fontId="27" fillId="37" borderId="0" xfId="0" applyFont="1" applyFill="1"/>
    <xf numFmtId="49" fontId="30" fillId="37" borderId="0" xfId="0" applyNumberFormat="1" applyFont="1" applyFill="1"/>
    <xf numFmtId="0" fontId="27" fillId="37" borderId="0" xfId="0" applyFont="1" applyFill="1" applyAlignment="1">
      <alignment wrapText="1"/>
    </xf>
    <xf numFmtId="16" fontId="27" fillId="37" borderId="0" xfId="0" quotePrefix="1" applyNumberFormat="1" applyFont="1" applyFill="1" applyAlignment="1">
      <alignment horizontal="center"/>
    </xf>
    <xf numFmtId="0" fontId="27" fillId="37" borderId="0" xfId="0" applyFont="1" applyFill="1" applyAlignment="1">
      <alignment horizontal="center"/>
    </xf>
    <xf numFmtId="44" fontId="27" fillId="37" borderId="0" xfId="0" quotePrefix="1" applyNumberFormat="1" applyFont="1" applyFill="1" applyAlignment="1">
      <alignment horizontal="center"/>
    </xf>
    <xf numFmtId="44" fontId="34" fillId="37" borderId="0" xfId="0" quotePrefix="1" applyNumberFormat="1" applyFont="1" applyFill="1" applyAlignment="1">
      <alignment horizontal="center"/>
    </xf>
    <xf numFmtId="0" fontId="30" fillId="37" borderId="0" xfId="0" applyFont="1" applyFill="1"/>
    <xf numFmtId="0" fontId="27" fillId="37" borderId="0" xfId="0" applyFont="1" applyFill="1" applyAlignment="1">
      <alignment horizontal="center" wrapText="1"/>
    </xf>
    <xf numFmtId="44" fontId="27" fillId="37" borderId="0" xfId="0" applyNumberFormat="1" applyFont="1" applyFill="1" applyAlignment="1">
      <alignment horizontal="center"/>
    </xf>
    <xf numFmtId="0" fontId="35" fillId="37" borderId="0" xfId="0" applyFont="1" applyFill="1" applyAlignment="1">
      <alignment horizontal="center"/>
    </xf>
    <xf numFmtId="44" fontId="30" fillId="37" borderId="0" xfId="0" applyNumberFormat="1" applyFont="1" applyFill="1"/>
    <xf numFmtId="49" fontId="30" fillId="39" borderId="0" xfId="0" applyNumberFormat="1" applyFont="1" applyFill="1"/>
    <xf numFmtId="0" fontId="27" fillId="39" borderId="0" xfId="0" applyFont="1" applyFill="1"/>
    <xf numFmtId="44" fontId="27" fillId="39" borderId="0" xfId="0" applyNumberFormat="1" applyFont="1" applyFill="1" applyAlignment="1">
      <alignment horizontal="center"/>
    </xf>
    <xf numFmtId="0" fontId="27" fillId="39" borderId="0" xfId="0" applyFont="1" applyFill="1" applyAlignment="1">
      <alignment horizontal="center"/>
    </xf>
    <xf numFmtId="0" fontId="35" fillId="39" borderId="0" xfId="0" applyFont="1" applyFill="1" applyAlignment="1">
      <alignment horizontal="center"/>
    </xf>
    <xf numFmtId="0" fontId="27" fillId="39" borderId="0" xfId="0" applyFont="1" applyFill="1" applyAlignment="1">
      <alignment horizontal="center" wrapText="1"/>
    </xf>
    <xf numFmtId="44" fontId="30" fillId="39" borderId="0" xfId="0" applyNumberFormat="1" applyFont="1" applyFill="1" applyAlignment="1">
      <alignment horizontal="center"/>
    </xf>
    <xf numFmtId="0" fontId="30" fillId="39" borderId="0" xfId="0" applyFont="1" applyFill="1" applyAlignment="1">
      <alignment horizontal="center"/>
    </xf>
    <xf numFmtId="0" fontId="38" fillId="39" borderId="0" xfId="0" applyFont="1" applyFill="1" applyAlignment="1">
      <alignment horizontal="center"/>
    </xf>
    <xf numFmtId="49" fontId="71" fillId="40" borderId="0" xfId="0" applyNumberFormat="1" applyFont="1" applyFill="1" applyAlignment="1">
      <alignment vertical="center"/>
    </xf>
    <xf numFmtId="0" fontId="72" fillId="40" borderId="0" xfId="0" applyFont="1" applyFill="1" applyAlignment="1">
      <alignment vertical="center" wrapText="1"/>
    </xf>
    <xf numFmtId="16" fontId="72" fillId="40" borderId="0" xfId="0" quotePrefix="1" applyNumberFormat="1" applyFont="1" applyFill="1" applyAlignment="1">
      <alignment horizontal="center" vertical="center"/>
    </xf>
    <xf numFmtId="0" fontId="72" fillId="40" borderId="0" xfId="0" applyFont="1" applyFill="1" applyAlignment="1">
      <alignment horizontal="center" vertical="center"/>
    </xf>
    <xf numFmtId="44" fontId="72" fillId="40" borderId="0" xfId="0" quotePrefix="1" applyNumberFormat="1" applyFont="1" applyFill="1" applyAlignment="1">
      <alignment horizontal="center" vertical="center"/>
    </xf>
    <xf numFmtId="44" fontId="27" fillId="27" borderId="0" xfId="0" applyNumberFormat="1" applyFont="1" applyFill="1" applyAlignment="1">
      <alignment horizontal="center" vertical="center"/>
    </xf>
    <xf numFmtId="0" fontId="72" fillId="40" borderId="0" xfId="0" applyFont="1" applyFill="1" applyAlignment="1">
      <alignment horizontal="center" vertical="center" wrapText="1"/>
    </xf>
    <xf numFmtId="44" fontId="72" fillId="40" borderId="0" xfId="0" applyNumberFormat="1" applyFont="1" applyFill="1" applyAlignment="1">
      <alignment horizontal="center" vertical="center" wrapText="1"/>
    </xf>
    <xf numFmtId="44" fontId="72" fillId="40" borderId="0" xfId="0" applyNumberFormat="1" applyFont="1" applyFill="1" applyAlignment="1">
      <alignment horizontal="center" vertical="center"/>
    </xf>
    <xf numFmtId="0" fontId="71" fillId="40" borderId="0" xfId="0" applyFont="1" applyFill="1" applyAlignment="1">
      <alignment vertical="center"/>
    </xf>
    <xf numFmtId="44" fontId="71" fillId="40" borderId="0" xfId="0" applyNumberFormat="1" applyFont="1" applyFill="1" applyAlignment="1">
      <alignment vertical="center"/>
    </xf>
    <xf numFmtId="44" fontId="72" fillId="40" borderId="0" xfId="0" applyNumberFormat="1" applyFont="1" applyFill="1" applyAlignment="1">
      <alignment vertical="center"/>
    </xf>
    <xf numFmtId="44" fontId="27" fillId="27" borderId="0" xfId="0" applyNumberFormat="1" applyFont="1" applyFill="1" applyAlignment="1">
      <alignment vertical="center" wrapText="1"/>
    </xf>
    <xf numFmtId="49" fontId="30" fillId="0" borderId="0" xfId="0" applyNumberFormat="1" applyFont="1" applyFill="1" applyAlignment="1">
      <alignment vertical="center"/>
    </xf>
    <xf numFmtId="49" fontId="30" fillId="0" borderId="0" xfId="0" applyNumberFormat="1" applyFont="1" applyAlignment="1">
      <alignment vertical="center"/>
    </xf>
    <xf numFmtId="49" fontId="30" fillId="0" borderId="0" xfId="0" applyNumberFormat="1" applyFont="1" applyFill="1" applyAlignment="1">
      <alignment vertical="center" wrapText="1"/>
    </xf>
    <xf numFmtId="44" fontId="30" fillId="0" borderId="0" xfId="0" applyNumberFormat="1" applyFont="1" applyFill="1" applyAlignment="1">
      <alignment vertical="center"/>
    </xf>
    <xf numFmtId="44" fontId="37" fillId="0" borderId="0" xfId="0" applyNumberFormat="1" applyFont="1" applyFill="1" applyAlignment="1">
      <alignment vertical="center"/>
    </xf>
    <xf numFmtId="0" fontId="30" fillId="27" borderId="0" xfId="0" applyFont="1" applyFill="1" applyAlignment="1">
      <alignment vertical="center"/>
    </xf>
    <xf numFmtId="44" fontId="38" fillId="0" borderId="0" xfId="0" applyNumberFormat="1" applyFont="1" applyFill="1" applyAlignment="1">
      <alignment vertical="center"/>
    </xf>
    <xf numFmtId="49" fontId="39" fillId="0" borderId="0" xfId="0" applyNumberFormat="1" applyFont="1" applyAlignment="1">
      <alignment vertical="center"/>
    </xf>
    <xf numFmtId="0" fontId="27" fillId="0" borderId="0" xfId="0" applyFont="1" applyFill="1" applyAlignment="1">
      <alignment horizontal="center" vertical="center" wrapText="1"/>
    </xf>
    <xf numFmtId="44" fontId="30" fillId="0" borderId="0" xfId="0" applyNumberFormat="1" applyFont="1" applyFill="1" applyAlignment="1">
      <alignment horizontal="center" vertical="center" wrapText="1"/>
    </xf>
    <xf numFmtId="0" fontId="27" fillId="0" borderId="0" xfId="0" applyFont="1" applyFill="1" applyAlignment="1">
      <alignment horizontal="center" vertical="center"/>
    </xf>
    <xf numFmtId="44" fontId="27" fillId="0" borderId="0" xfId="0" applyNumberFormat="1" applyFont="1" applyFill="1" applyAlignment="1">
      <alignment horizontal="center" vertical="center"/>
    </xf>
    <xf numFmtId="44" fontId="35" fillId="0" borderId="0" xfId="0" applyNumberFormat="1" applyFont="1" applyFill="1" applyAlignment="1">
      <alignment horizontal="center" vertical="center"/>
    </xf>
    <xf numFmtId="0" fontId="35" fillId="0" borderId="0" xfId="0" applyFont="1" applyFill="1" applyAlignment="1">
      <alignment horizontal="center" vertical="center"/>
    </xf>
    <xf numFmtId="49" fontId="39" fillId="0" borderId="0" xfId="0" applyNumberFormat="1" applyFont="1" applyFill="1" applyAlignment="1">
      <alignment vertical="center"/>
    </xf>
    <xf numFmtId="0" fontId="27" fillId="0" borderId="0" xfId="0" applyFont="1" applyFill="1" applyAlignment="1">
      <alignment horizontal="left" vertical="center" wrapText="1"/>
    </xf>
    <xf numFmtId="49" fontId="22" fillId="0" borderId="0" xfId="0" applyNumberFormat="1" applyFont="1" applyFill="1" applyAlignment="1">
      <alignment vertical="center"/>
    </xf>
    <xf numFmtId="49" fontId="22" fillId="0" borderId="0" xfId="0" applyNumberFormat="1" applyFont="1" applyAlignment="1">
      <alignment vertical="center"/>
    </xf>
    <xf numFmtId="44" fontId="27" fillId="0" borderId="0" xfId="0" applyNumberFormat="1" applyFont="1" applyFill="1" applyAlignment="1">
      <alignment vertical="center"/>
    </xf>
    <xf numFmtId="44" fontId="35" fillId="0" borderId="0" xfId="29" applyFont="1" applyFill="1" applyAlignment="1">
      <alignment vertical="center"/>
    </xf>
    <xf numFmtId="44" fontId="27" fillId="28" borderId="0" xfId="29" applyFont="1" applyFill="1" applyAlignment="1">
      <alignment vertical="center"/>
    </xf>
    <xf numFmtId="44" fontId="27" fillId="27" borderId="0" xfId="0" applyNumberFormat="1" applyFont="1" applyFill="1" applyAlignment="1">
      <alignment vertical="center"/>
    </xf>
    <xf numFmtId="0" fontId="40" fillId="0" borderId="0" xfId="0" applyFont="1" applyFill="1" applyAlignment="1">
      <alignment vertical="center" wrapText="1"/>
    </xf>
    <xf numFmtId="0" fontId="38" fillId="0" borderId="0" xfId="0" applyFont="1" applyFill="1" applyAlignment="1">
      <alignment vertical="center"/>
    </xf>
    <xf numFmtId="44" fontId="30" fillId="27" borderId="0" xfId="0" applyNumberFormat="1" applyFont="1" applyFill="1" applyAlignment="1">
      <alignment vertical="center"/>
    </xf>
    <xf numFmtId="0" fontId="41" fillId="0" borderId="0" xfId="0" applyFont="1" applyFill="1" applyAlignment="1">
      <alignment vertical="center"/>
    </xf>
    <xf numFmtId="0" fontId="30" fillId="0" borderId="0" xfId="0" applyFont="1" applyFill="1" applyAlignment="1">
      <alignment vertical="center" wrapText="1"/>
    </xf>
    <xf numFmtId="49" fontId="42" fillId="0" borderId="0" xfId="0" applyNumberFormat="1" applyFont="1" applyFill="1" applyAlignment="1">
      <alignment vertical="center"/>
    </xf>
    <xf numFmtId="4" fontId="43" fillId="0" borderId="0" xfId="0" applyNumberFormat="1" applyFont="1" applyFill="1" applyAlignment="1">
      <alignment vertical="center"/>
    </xf>
    <xf numFmtId="0" fontId="43" fillId="0" borderId="0" xfId="0" applyFont="1" applyFill="1" applyAlignment="1">
      <alignment vertical="center" wrapText="1"/>
    </xf>
    <xf numFmtId="44" fontId="43" fillId="0" borderId="0" xfId="29" applyFont="1" applyFill="1" applyAlignment="1">
      <alignment vertical="center"/>
    </xf>
    <xf numFmtId="43" fontId="43" fillId="0" borderId="0" xfId="29" applyNumberFormat="1" applyFont="1" applyFill="1" applyAlignment="1">
      <alignment vertical="center"/>
    </xf>
    <xf numFmtId="44" fontId="43" fillId="27" borderId="0" xfId="29" applyFont="1" applyFill="1" applyAlignment="1">
      <alignment vertical="center"/>
    </xf>
    <xf numFmtId="0" fontId="43" fillId="0" borderId="0" xfId="0" applyFont="1" applyFill="1" applyAlignment="1">
      <alignment vertical="center"/>
    </xf>
    <xf numFmtId="1" fontId="44" fillId="0" borderId="0" xfId="0" applyNumberFormat="1" applyFont="1" applyFill="1" applyAlignment="1">
      <alignment vertical="center"/>
    </xf>
    <xf numFmtId="4" fontId="44" fillId="0" borderId="0" xfId="0" applyNumberFormat="1" applyFont="1" applyFill="1" applyAlignment="1">
      <alignment vertical="center"/>
    </xf>
    <xf numFmtId="0" fontId="44" fillId="0" borderId="0" xfId="0" applyFont="1" applyFill="1" applyAlignment="1">
      <alignment vertical="center" wrapText="1"/>
    </xf>
    <xf numFmtId="44" fontId="44" fillId="0" borderId="0" xfId="29" applyFont="1" applyFill="1" applyAlignment="1">
      <alignment vertical="center"/>
    </xf>
    <xf numFmtId="44" fontId="44" fillId="27" borderId="0" xfId="29" applyFont="1" applyFill="1" applyAlignment="1">
      <alignment vertical="center"/>
    </xf>
    <xf numFmtId="0" fontId="44" fillId="0" borderId="0" xfId="0" applyFont="1" applyFill="1" applyAlignment="1">
      <alignment vertical="center"/>
    </xf>
    <xf numFmtId="49" fontId="44" fillId="0" borderId="0" xfId="0" applyNumberFormat="1" applyFont="1" applyFill="1" applyAlignment="1">
      <alignment vertical="center"/>
    </xf>
    <xf numFmtId="0" fontId="0" fillId="0" borderId="0" xfId="0" applyFill="1" applyAlignment="1">
      <alignment vertical="center" wrapText="1"/>
    </xf>
    <xf numFmtId="49" fontId="43" fillId="0" borderId="0" xfId="0" applyNumberFormat="1" applyFont="1" applyFill="1" applyAlignment="1">
      <alignment vertical="center"/>
    </xf>
    <xf numFmtId="0" fontId="43" fillId="0" borderId="0" xfId="36" applyFont="1" applyFill="1" applyAlignment="1" applyProtection="1">
      <alignment vertical="center" wrapText="1"/>
    </xf>
    <xf numFmtId="44" fontId="43" fillId="27" borderId="0" xfId="0" applyNumberFormat="1" applyFont="1" applyFill="1" applyAlignment="1">
      <alignment vertical="center"/>
    </xf>
    <xf numFmtId="168" fontId="44" fillId="0" borderId="0" xfId="46" applyFont="1" applyFill="1" applyAlignment="1" applyProtection="1">
      <alignment vertical="center" wrapText="1"/>
    </xf>
    <xf numFmtId="44" fontId="30" fillId="0" borderId="0" xfId="29" applyFont="1" applyFill="1" applyAlignment="1">
      <alignment vertical="center"/>
    </xf>
    <xf numFmtId="0" fontId="27" fillId="0" borderId="0" xfId="0" applyFont="1" applyFill="1" applyAlignment="1">
      <alignment vertical="center" wrapText="1"/>
    </xf>
    <xf numFmtId="44" fontId="34" fillId="0" borderId="0" xfId="29" applyFont="1" applyFill="1" applyAlignment="1">
      <alignment vertical="center"/>
    </xf>
    <xf numFmtId="44" fontId="27" fillId="0" borderId="0" xfId="29" applyNumberFormat="1" applyFont="1" applyFill="1" applyAlignment="1">
      <alignment vertical="center"/>
    </xf>
    <xf numFmtId="44" fontId="35" fillId="0" borderId="0" xfId="29" applyNumberFormat="1" applyFont="1" applyFill="1" applyAlignment="1">
      <alignment vertical="center"/>
    </xf>
    <xf numFmtId="44" fontId="30" fillId="29" borderId="0" xfId="0" applyNumberFormat="1" applyFont="1" applyFill="1" applyAlignment="1">
      <alignment vertical="center"/>
    </xf>
    <xf numFmtId="0" fontId="27" fillId="0" borderId="0" xfId="0" applyFont="1" applyFill="1" applyAlignment="1">
      <alignment horizontal="right" vertical="center"/>
    </xf>
    <xf numFmtId="44" fontId="27" fillId="29" borderId="0" xfId="0" applyNumberFormat="1" applyFont="1" applyFill="1" applyAlignment="1">
      <alignment vertical="center"/>
    </xf>
    <xf numFmtId="44" fontId="30" fillId="30" borderId="0" xfId="0" applyNumberFormat="1" applyFont="1" applyFill="1" applyAlignment="1">
      <alignment vertical="center"/>
    </xf>
    <xf numFmtId="0" fontId="27" fillId="0" borderId="0" xfId="0" applyFont="1" applyFill="1" applyAlignment="1">
      <alignment horizontal="right" vertical="center" wrapText="1"/>
    </xf>
    <xf numFmtId="0" fontId="0" fillId="0" borderId="0" xfId="0" applyAlignment="1">
      <alignment vertical="center" wrapText="1"/>
    </xf>
    <xf numFmtId="9" fontId="27" fillId="27" borderId="0" xfId="42" applyFont="1" applyFill="1" applyAlignment="1">
      <alignment vertical="center"/>
    </xf>
    <xf numFmtId="0" fontId="27" fillId="38" borderId="0" xfId="0" applyFont="1" applyFill="1" applyAlignment="1">
      <alignment vertical="center"/>
    </xf>
    <xf numFmtId="49" fontId="30" fillId="38" borderId="0" xfId="0" applyNumberFormat="1" applyFont="1" applyFill="1" applyAlignment="1">
      <alignment vertical="center"/>
    </xf>
    <xf numFmtId="0" fontId="27" fillId="38" borderId="0" xfId="0" applyFont="1" applyFill="1" applyAlignment="1">
      <alignment vertical="center" wrapText="1"/>
    </xf>
    <xf numFmtId="16" fontId="27" fillId="38" borderId="0" xfId="0" quotePrefix="1" applyNumberFormat="1" applyFont="1" applyFill="1" applyAlignment="1">
      <alignment horizontal="center" vertical="center"/>
    </xf>
    <xf numFmtId="0" fontId="27" fillId="38" borderId="0" xfId="0" applyFont="1" applyFill="1" applyAlignment="1">
      <alignment horizontal="center" vertical="center"/>
    </xf>
    <xf numFmtId="44" fontId="27" fillId="38" borderId="0" xfId="0" quotePrefix="1" applyNumberFormat="1" applyFont="1" applyFill="1" applyAlignment="1">
      <alignment horizontal="center" vertical="center"/>
    </xf>
    <xf numFmtId="44" fontId="34" fillId="38" borderId="0" xfId="0" quotePrefix="1" applyNumberFormat="1" applyFont="1" applyFill="1" applyAlignment="1">
      <alignment horizontal="center" vertical="center"/>
    </xf>
    <xf numFmtId="0" fontId="30" fillId="38" borderId="0" xfId="0" applyFont="1" applyFill="1" applyAlignment="1">
      <alignment vertical="center"/>
    </xf>
    <xf numFmtId="0" fontId="27" fillId="38" borderId="0" xfId="0" applyFont="1" applyFill="1" applyAlignment="1">
      <alignment horizontal="center" vertical="center" wrapText="1"/>
    </xf>
    <xf numFmtId="44" fontId="27" fillId="38" borderId="0" xfId="0" applyNumberFormat="1" applyFont="1" applyFill="1" applyAlignment="1">
      <alignment horizontal="center" vertical="center"/>
    </xf>
    <xf numFmtId="0" fontId="35" fillId="38" borderId="0" xfId="0" applyFont="1" applyFill="1" applyAlignment="1">
      <alignment horizontal="center" vertical="center"/>
    </xf>
    <xf numFmtId="44" fontId="30" fillId="38" borderId="0" xfId="0" applyNumberFormat="1" applyFont="1" applyFill="1" applyAlignment="1">
      <alignment vertical="center"/>
    </xf>
    <xf numFmtId="44" fontId="27" fillId="38" borderId="0" xfId="0" applyNumberFormat="1" applyFont="1" applyFill="1" applyAlignment="1">
      <alignment horizontal="center" vertical="center" wrapText="1"/>
    </xf>
    <xf numFmtId="49" fontId="30" fillId="0" borderId="0" xfId="0" applyNumberFormat="1" applyFont="1" applyAlignment="1">
      <alignment vertical="center" wrapText="1"/>
    </xf>
    <xf numFmtId="0" fontId="27" fillId="0" borderId="0" xfId="0" applyFont="1" applyAlignment="1">
      <alignment vertical="center"/>
    </xf>
    <xf numFmtId="44" fontId="27" fillId="31" borderId="0" xfId="29" applyFont="1" applyFill="1" applyAlignment="1">
      <alignment vertical="center"/>
    </xf>
    <xf numFmtId="44" fontId="27" fillId="27" borderId="0" xfId="29" applyFont="1" applyFill="1" applyAlignment="1">
      <alignment vertical="center"/>
    </xf>
    <xf numFmtId="0" fontId="40" fillId="0" borderId="0" xfId="0" applyFont="1" applyAlignment="1">
      <alignment vertical="center" wrapText="1"/>
    </xf>
    <xf numFmtId="1" fontId="43" fillId="0" borderId="0" xfId="0" applyNumberFormat="1" applyFont="1" applyFill="1" applyAlignment="1">
      <alignment vertical="center"/>
    </xf>
    <xf numFmtId="1" fontId="43" fillId="29" borderId="0" xfId="0" applyNumberFormat="1" applyFont="1" applyFill="1" applyAlignment="1">
      <alignment vertical="center"/>
    </xf>
    <xf numFmtId="4" fontId="43" fillId="29" borderId="0" xfId="0" applyNumberFormat="1" applyFont="1" applyFill="1" applyAlignment="1">
      <alignment vertical="center"/>
    </xf>
    <xf numFmtId="0" fontId="43" fillId="29" borderId="0" xfId="0" applyFont="1" applyFill="1" applyAlignment="1">
      <alignment vertical="center" wrapText="1"/>
    </xf>
    <xf numFmtId="44" fontId="43" fillId="29" borderId="0" xfId="29" applyFont="1" applyFill="1" applyAlignment="1">
      <alignment vertical="center"/>
    </xf>
    <xf numFmtId="1" fontId="0" fillId="0" borderId="0" xfId="0" applyNumberFormat="1" applyAlignment="1">
      <alignment vertical="center"/>
    </xf>
    <xf numFmtId="168" fontId="43" fillId="0" borderId="0" xfId="46" applyFont="1" applyFill="1" applyAlignment="1" applyProtection="1">
      <alignment vertical="center" wrapText="1"/>
    </xf>
    <xf numFmtId="1" fontId="0" fillId="0" borderId="0" xfId="0" applyNumberFormat="1" applyFill="1" applyAlignment="1">
      <alignment vertical="center"/>
    </xf>
    <xf numFmtId="44" fontId="30" fillId="27" borderId="0" xfId="29" applyFont="1" applyFill="1" applyAlignment="1">
      <alignment vertical="center"/>
    </xf>
    <xf numFmtId="0" fontId="30" fillId="0" borderId="0" xfId="0" applyFont="1" applyAlignment="1">
      <alignment vertical="center" wrapText="1"/>
    </xf>
    <xf numFmtId="44" fontId="27" fillId="30" borderId="0" xfId="29" applyNumberFormat="1" applyFont="1" applyFill="1" applyAlignment="1">
      <alignment vertical="center"/>
    </xf>
    <xf numFmtId="44" fontId="27" fillId="27" borderId="0" xfId="29" applyNumberFormat="1" applyFont="1" applyFill="1" applyAlignment="1">
      <alignment vertical="center"/>
    </xf>
    <xf numFmtId="1" fontId="0" fillId="0" borderId="0" xfId="0" quotePrefix="1" applyNumberFormat="1" applyAlignment="1">
      <alignment vertical="center"/>
    </xf>
    <xf numFmtId="1" fontId="27" fillId="0" borderId="0" xfId="0" applyNumberFormat="1" applyFont="1" applyAlignment="1">
      <alignment vertical="center"/>
    </xf>
    <xf numFmtId="0" fontId="27" fillId="0" borderId="0" xfId="0" applyFont="1" applyAlignment="1">
      <alignment horizontal="right" vertical="center"/>
    </xf>
    <xf numFmtId="44" fontId="27" fillId="0" borderId="0" xfId="0" applyNumberFormat="1" applyFont="1" applyAlignment="1">
      <alignment vertical="center"/>
    </xf>
    <xf numFmtId="44" fontId="27" fillId="30" borderId="0" xfId="0" applyNumberFormat="1" applyFont="1" applyFill="1" applyAlignment="1">
      <alignment vertical="center"/>
    </xf>
    <xf numFmtId="1" fontId="30" fillId="0" borderId="0" xfId="0" applyNumberFormat="1" applyFont="1" applyAlignment="1">
      <alignment vertical="center"/>
    </xf>
    <xf numFmtId="17" fontId="27" fillId="0" borderId="0" xfId="0" quotePrefix="1" applyNumberFormat="1" applyFont="1" applyAlignment="1">
      <alignment horizontal="center" vertical="center" wrapText="1"/>
    </xf>
    <xf numFmtId="9" fontId="30" fillId="0" borderId="0" xfId="42" applyFont="1" applyFill="1" applyAlignment="1">
      <alignment vertical="center"/>
    </xf>
    <xf numFmtId="44" fontId="27" fillId="37" borderId="0" xfId="0" applyNumberFormat="1" applyFont="1" applyFill="1" applyAlignment="1">
      <alignment horizontal="center" wrapText="1"/>
    </xf>
    <xf numFmtId="49" fontId="30" fillId="41" borderId="0" xfId="0" applyNumberFormat="1" applyFont="1" applyFill="1"/>
    <xf numFmtId="0" fontId="27" fillId="41" borderId="0" xfId="0" applyFont="1" applyFill="1"/>
    <xf numFmtId="44" fontId="27" fillId="41" borderId="0" xfId="0" applyNumberFormat="1" applyFont="1" applyFill="1" applyAlignment="1">
      <alignment horizontal="center"/>
    </xf>
    <xf numFmtId="0" fontId="27" fillId="41" borderId="0" xfId="0" applyFont="1" applyFill="1" applyAlignment="1">
      <alignment horizontal="center"/>
    </xf>
    <xf numFmtId="44" fontId="34" fillId="41" borderId="0" xfId="0" applyNumberFormat="1" applyFont="1" applyFill="1" applyAlignment="1">
      <alignment horizontal="center"/>
    </xf>
    <xf numFmtId="0" fontId="35" fillId="41" borderId="0" xfId="0" applyFont="1" applyFill="1" applyAlignment="1">
      <alignment horizontal="center"/>
    </xf>
    <xf numFmtId="0" fontId="27" fillId="41" borderId="0" xfId="0" applyFont="1" applyFill="1" applyAlignment="1">
      <alignment horizontal="center" wrapText="1"/>
    </xf>
    <xf numFmtId="44" fontId="30" fillId="41" borderId="0" xfId="0" applyNumberFormat="1" applyFont="1" applyFill="1" applyAlignment="1">
      <alignment horizontal="center"/>
    </xf>
    <xf numFmtId="0" fontId="30" fillId="41" borderId="0" xfId="0" applyFont="1" applyFill="1" applyAlignment="1">
      <alignment horizontal="center"/>
    </xf>
    <xf numFmtId="44" fontId="38" fillId="41" borderId="0" xfId="0" applyNumberFormat="1" applyFont="1" applyFill="1"/>
    <xf numFmtId="0" fontId="38" fillId="41" borderId="0" xfId="0" applyFont="1" applyFill="1" applyAlignment="1">
      <alignment horizontal="center"/>
    </xf>
    <xf numFmtId="0" fontId="30" fillId="41" borderId="0" xfId="0" applyFont="1" applyFill="1"/>
    <xf numFmtId="0" fontId="28" fillId="0" borderId="31" xfId="0" applyFont="1" applyBorder="1" applyAlignment="1">
      <alignment horizontal="center" vertical="center"/>
    </xf>
    <xf numFmtId="0" fontId="0" fillId="0" borderId="15" xfId="0" applyBorder="1" applyAlignment="1">
      <alignment horizontal="center" vertical="center"/>
    </xf>
    <xf numFmtId="0" fontId="0" fillId="0" borderId="32" xfId="0" applyBorder="1" applyAlignment="1">
      <alignment horizontal="center" vertical="center"/>
    </xf>
    <xf numFmtId="0" fontId="27" fillId="32" borderId="0" xfId="0" applyFont="1" applyFill="1" applyBorder="1" applyAlignment="1">
      <alignment vertical="center" wrapText="1"/>
    </xf>
    <xf numFmtId="0" fontId="0" fillId="32" borderId="0" xfId="0" applyFill="1"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27" fillId="0" borderId="0" xfId="0" applyFont="1" applyFill="1" applyAlignment="1">
      <alignment horizontal="right" vertical="center" wrapText="1"/>
    </xf>
    <xf numFmtId="0" fontId="0" fillId="0" borderId="0" xfId="0" applyAlignment="1">
      <alignment vertical="center" wrapText="1"/>
    </xf>
    <xf numFmtId="0" fontId="0" fillId="0" borderId="0" xfId="0" applyAlignment="1">
      <alignment vertical="center"/>
    </xf>
    <xf numFmtId="0" fontId="30" fillId="0" borderId="0" xfId="0" applyFont="1" applyAlignment="1">
      <alignment vertical="center" wrapText="1"/>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Hyperlink_FY10 Worksheets CURRENT" xfId="46"/>
    <cellStyle name="Input" xfId="37" builtinId="20" customBuiltin="1"/>
    <cellStyle name="Linked Cell" xfId="38" builtinId="24" customBuiltin="1"/>
    <cellStyle name="Neutral" xfId="39" builtinId="28" customBuiltin="1"/>
    <cellStyle name="Normal" xfId="0" builtinId="0"/>
    <cellStyle name="Note" xfId="40" builtinId="10" customBuiltin="1"/>
    <cellStyle name="Output" xfId="41" builtinId="21" customBuiltin="1"/>
    <cellStyle name="Percent" xfId="42" builtinId="5"/>
    <cellStyle name="Title" xfId="43" builtinId="15" customBuiltin="1"/>
    <cellStyle name="Total" xfId="44" builtinId="25" customBuiltin="1"/>
    <cellStyle name="Warning Text" xfId="45" builtinId="11" customBuiltin="1"/>
  </cellStyles>
  <dxfs count="0"/>
  <tableStyles count="0" defaultTableStyle="TableStyleMedium2" defaultPivotStyle="PivotStyleLight16"/>
  <colors>
    <mruColors>
      <color rgb="FFFFFF99"/>
      <color rgb="FFFF99FF"/>
      <color rgb="FFFF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295275</xdr:colOff>
      <xdr:row>0</xdr:row>
      <xdr:rowOff>152400</xdr:rowOff>
    </xdr:from>
    <xdr:to>
      <xdr:col>12</xdr:col>
      <xdr:colOff>333375</xdr:colOff>
      <xdr:row>67</xdr:row>
      <xdr:rowOff>133350</xdr:rowOff>
    </xdr:to>
    <xdr:sp macro="" textlink="">
      <xdr:nvSpPr>
        <xdr:cNvPr id="1025" name="Text Box 6"/>
        <xdr:cNvSpPr txBox="1">
          <a:spLocks noChangeArrowheads="1"/>
        </xdr:cNvSpPr>
      </xdr:nvSpPr>
      <xdr:spPr bwMode="auto">
        <a:xfrm>
          <a:off x="295275" y="152400"/>
          <a:ext cx="7353300" cy="10829925"/>
        </a:xfrm>
        <a:prstGeom prst="rect">
          <a:avLst/>
        </a:prstGeom>
        <a:solidFill>
          <a:srgbClr xmlns:mc="http://schemas.openxmlformats.org/markup-compatibility/2006" xmlns:a14="http://schemas.microsoft.com/office/drawing/2010/main" val="CCCCFF" mc:Ignorable="a14" a14:legacySpreadsheetColorIndex="31"/>
        </a:solidFill>
        <a:ln w="9525">
          <a:solidFill>
            <a:srgbClr val="000000"/>
          </a:solidFill>
          <a:miter lim="800000"/>
          <a:headEnd/>
          <a:tailEnd/>
        </a:ln>
      </xdr:spPr>
      <xdr:txBody>
        <a:bodyPr vertOverflow="clip" wrap="square" lIns="36576" tIns="27432" rIns="0" bIns="0" anchor="t"/>
        <a:lstStyle/>
        <a:p>
          <a:pPr algn="l" rtl="0">
            <a:defRPr sz="1000"/>
          </a:pPr>
          <a:r>
            <a:rPr lang="en-US" sz="1200" b="1" i="0" u="none" strike="noStrike" baseline="0">
              <a:solidFill>
                <a:srgbClr val="000000"/>
              </a:solidFill>
              <a:latin typeface="CG Omega"/>
            </a:rPr>
            <a:t>          SALARY PLANNING TEMPLATE FOR FACULTY WITH 12-MONTHS APPPOINTMENTS</a:t>
          </a:r>
          <a:endParaRPr lang="en-US" sz="1200" b="1" i="0" u="none" strike="noStrike" baseline="0">
            <a:solidFill>
              <a:srgbClr val="FFFFFF"/>
            </a:solidFill>
            <a:latin typeface="CG Omega"/>
          </a:endParaRPr>
        </a:p>
        <a:p>
          <a:pPr algn="l" rtl="0">
            <a:defRPr sz="1000"/>
          </a:pPr>
          <a:endParaRPr lang="en-US" sz="1200" b="1" i="0" u="none" strike="noStrike" baseline="0">
            <a:solidFill>
              <a:srgbClr val="000000"/>
            </a:solidFill>
            <a:latin typeface="CG Omega"/>
          </a:endParaRPr>
        </a:p>
        <a:p>
          <a:pPr algn="l" rtl="0">
            <a:defRPr sz="1000"/>
          </a:pPr>
          <a:r>
            <a:rPr lang="en-US" sz="1200" b="1" i="0" u="none" strike="noStrike" baseline="0">
              <a:solidFill>
                <a:srgbClr val="000000"/>
              </a:solidFill>
              <a:latin typeface="CG Omega"/>
            </a:rPr>
            <a:t>Data is entered into the </a:t>
          </a:r>
          <a:r>
            <a:rPr lang="en-US" sz="1800" b="1" i="0" u="none" strike="noStrike" baseline="0">
              <a:solidFill>
                <a:srgbClr val="FFFF00"/>
              </a:solidFill>
              <a:latin typeface="CG Omega"/>
            </a:rPr>
            <a:t>YELLOW HIGHLIGHTED</a:t>
          </a:r>
          <a:r>
            <a:rPr lang="en-US" sz="1200" b="1" i="0" u="none" strike="noStrike" baseline="0">
              <a:solidFill>
                <a:srgbClr val="000000"/>
              </a:solidFill>
              <a:latin typeface="CG Omega"/>
            </a:rPr>
            <a:t> sections.</a:t>
          </a:r>
        </a:p>
        <a:p>
          <a:pPr algn="l" rtl="0">
            <a:defRPr sz="1000"/>
          </a:pPr>
          <a:endParaRPr lang="en-US" sz="1200" b="1" i="0" u="none" strike="noStrike" baseline="0">
            <a:solidFill>
              <a:srgbClr val="000000"/>
            </a:solidFill>
            <a:latin typeface="CG Omega"/>
          </a:endParaRPr>
        </a:p>
        <a:p>
          <a:pPr algn="l" rtl="0">
            <a:defRPr sz="1000"/>
          </a:pPr>
          <a:endParaRPr lang="en-US" sz="1200" b="0" i="0" u="none" strike="noStrike" baseline="0">
            <a:solidFill>
              <a:srgbClr val="000000"/>
            </a:solidFill>
            <a:latin typeface="CG Omega"/>
          </a:endParaRPr>
        </a:p>
        <a:p>
          <a:pPr algn="l" rtl="0">
            <a:defRPr sz="1000"/>
          </a:pPr>
          <a:r>
            <a:rPr lang="en-US" sz="1200" b="0" i="0" u="none" strike="noStrike" baseline="0">
              <a:solidFill>
                <a:srgbClr val="000000"/>
              </a:solidFill>
              <a:latin typeface="CG Omega"/>
            </a:rPr>
            <a:t>1. Enter the </a:t>
          </a:r>
          <a:r>
            <a:rPr lang="en-US" sz="1200" b="1" i="0" u="none" strike="noStrike" baseline="0">
              <a:solidFill>
                <a:srgbClr val="000000"/>
              </a:solidFill>
              <a:latin typeface="CG Omega"/>
            </a:rPr>
            <a:t>faculty name</a:t>
          </a:r>
          <a:r>
            <a:rPr lang="en-US" sz="1200" b="0" i="0" u="none" strike="noStrike" baseline="0">
              <a:solidFill>
                <a:srgbClr val="000000"/>
              </a:solidFill>
              <a:latin typeface="CG Omega"/>
            </a:rPr>
            <a:t> in B1.</a:t>
          </a:r>
        </a:p>
        <a:p>
          <a:pPr algn="l" rtl="0">
            <a:defRPr sz="1000"/>
          </a:pPr>
          <a:endParaRPr lang="en-US" sz="1200" b="0" i="0" u="none" strike="noStrike" baseline="0">
            <a:solidFill>
              <a:srgbClr val="000000"/>
            </a:solidFill>
            <a:latin typeface="CG Omega"/>
          </a:endParaRPr>
        </a:p>
        <a:p>
          <a:pPr algn="l" rtl="0">
            <a:defRPr sz="1000"/>
          </a:pPr>
          <a:r>
            <a:rPr lang="en-US" sz="1200" b="0" i="0" u="none" strike="noStrike" baseline="0">
              <a:solidFill>
                <a:srgbClr val="000000"/>
              </a:solidFill>
              <a:latin typeface="CG Omega"/>
            </a:rPr>
            <a:t>2. In D6, enter the </a:t>
          </a:r>
          <a:r>
            <a:rPr lang="en-US" sz="1200" b="1" i="0" u="none" strike="noStrike" baseline="0">
              <a:solidFill>
                <a:srgbClr val="000000"/>
              </a:solidFill>
              <a:latin typeface="CG Omega"/>
            </a:rPr>
            <a:t>% NMFF appointment</a:t>
          </a:r>
          <a:r>
            <a:rPr lang="en-US" sz="1200" b="0" i="0" u="none" strike="noStrike" baseline="0">
              <a:solidFill>
                <a:srgbClr val="000000"/>
              </a:solidFill>
              <a:latin typeface="CG Omega"/>
            </a:rPr>
            <a:t> and enter the </a:t>
          </a:r>
          <a:r>
            <a:rPr lang="en-US" sz="1200" b="1" i="0" u="none" strike="noStrike" baseline="0">
              <a:solidFill>
                <a:srgbClr val="000000"/>
              </a:solidFill>
              <a:latin typeface="CG Omega"/>
            </a:rPr>
            <a:t>$ amount of NMFF salary</a:t>
          </a:r>
          <a:r>
            <a:rPr lang="en-US" sz="1200" b="0" i="0" u="none" strike="noStrike" baseline="0">
              <a:solidFill>
                <a:srgbClr val="000000"/>
              </a:solidFill>
              <a:latin typeface="CG Omega"/>
            </a:rPr>
            <a:t> in E6.</a:t>
          </a:r>
        </a:p>
        <a:p>
          <a:pPr algn="l" rtl="0">
            <a:defRPr sz="1000"/>
          </a:pPr>
          <a:endParaRPr lang="en-US" sz="1200" b="0" i="0" u="none" strike="noStrike" baseline="0">
            <a:solidFill>
              <a:srgbClr val="000000"/>
            </a:solidFill>
            <a:latin typeface="CG Omega"/>
          </a:endParaRPr>
        </a:p>
        <a:p>
          <a:pPr algn="l" rtl="0">
            <a:defRPr sz="1000"/>
          </a:pPr>
          <a:r>
            <a:rPr lang="en-US" sz="1200" b="0" i="0" u="none" strike="noStrike" baseline="0">
              <a:solidFill>
                <a:srgbClr val="000000"/>
              </a:solidFill>
              <a:latin typeface="CG Omega"/>
            </a:rPr>
            <a:t>3. In D6, enter the </a:t>
          </a:r>
          <a:r>
            <a:rPr lang="en-US" sz="1200" b="1" i="0" u="none" strike="noStrike" baseline="0">
              <a:solidFill>
                <a:srgbClr val="000000"/>
              </a:solidFill>
              <a:latin typeface="CG Omega"/>
            </a:rPr>
            <a:t>% NU appointment</a:t>
          </a:r>
          <a:r>
            <a:rPr lang="en-US" sz="1200" b="0" i="0" u="none" strike="noStrike" baseline="0">
              <a:solidFill>
                <a:srgbClr val="000000"/>
              </a:solidFill>
              <a:latin typeface="CG Omega"/>
            </a:rPr>
            <a:t> and enter the </a:t>
          </a:r>
          <a:r>
            <a:rPr lang="en-US" sz="1200" b="1" i="0" u="none" strike="noStrike" baseline="0">
              <a:solidFill>
                <a:srgbClr val="000000"/>
              </a:solidFill>
              <a:latin typeface="CG Omega"/>
            </a:rPr>
            <a:t>$ amount of NU salary</a:t>
          </a:r>
          <a:r>
            <a:rPr lang="en-US" sz="1200" b="0" i="0" u="none" strike="noStrike" baseline="0">
              <a:solidFill>
                <a:srgbClr val="000000"/>
              </a:solidFill>
              <a:latin typeface="CG Omega"/>
            </a:rPr>
            <a:t> in E7.</a:t>
          </a:r>
        </a:p>
        <a:p>
          <a:pPr algn="l" rtl="0">
            <a:defRPr sz="1000"/>
          </a:pPr>
          <a:endParaRPr lang="en-US" sz="1200" b="0" i="0" u="none" strike="noStrike" baseline="0">
            <a:solidFill>
              <a:srgbClr val="000000"/>
            </a:solidFill>
            <a:latin typeface="CG Omega"/>
          </a:endParaRPr>
        </a:p>
        <a:p>
          <a:pPr algn="l" rtl="0">
            <a:defRPr sz="1000"/>
          </a:pPr>
          <a:r>
            <a:rPr lang="en-US" sz="1200" b="0" i="0" u="none" strike="noStrike" baseline="0">
              <a:solidFill>
                <a:srgbClr val="000000"/>
              </a:solidFill>
              <a:latin typeface="CG Omega"/>
            </a:rPr>
            <a:t>4. In B7, enter the </a:t>
          </a:r>
          <a:r>
            <a:rPr lang="en-US" sz="1200" b="1" i="0" u="none" strike="noStrike" baseline="0">
              <a:solidFill>
                <a:srgbClr val="000000"/>
              </a:solidFill>
              <a:latin typeface="CG Omega"/>
            </a:rPr>
            <a:t>NMFF commitment</a:t>
          </a:r>
          <a:r>
            <a:rPr lang="en-US" sz="1200" b="0" i="0" u="none" strike="noStrike" baseline="0">
              <a:solidFill>
                <a:srgbClr val="000000"/>
              </a:solidFill>
              <a:latin typeface="CG Omega"/>
            </a:rPr>
            <a:t> from </a:t>
          </a:r>
          <a:r>
            <a:rPr lang="en-US" sz="1200" b="1" i="0" u="none" strike="noStrike" baseline="0">
              <a:solidFill>
                <a:srgbClr val="000000"/>
              </a:solidFill>
              <a:latin typeface="CG Omega"/>
            </a:rPr>
            <a:t>faculty appointment letter</a:t>
          </a:r>
          <a:r>
            <a:rPr lang="en-US" sz="1200" b="0" i="0" u="none" strike="noStrike" baseline="0">
              <a:solidFill>
                <a:srgbClr val="000000"/>
              </a:solidFill>
              <a:latin typeface="CG Omega"/>
            </a:rPr>
            <a:t> (or other applicable documentation). This commitment should guide % NMFF appointment for faculty appointment sheets.</a:t>
          </a:r>
        </a:p>
        <a:p>
          <a:pPr algn="l" rtl="0">
            <a:defRPr sz="1000"/>
          </a:pPr>
          <a:endParaRPr lang="en-US" sz="1200" b="0" i="0" u="none" strike="noStrike" baseline="0">
            <a:solidFill>
              <a:srgbClr val="000000"/>
            </a:solidFill>
            <a:latin typeface="CG Omega"/>
          </a:endParaRPr>
        </a:p>
        <a:p>
          <a:pPr algn="l" rtl="0">
            <a:defRPr sz="1000"/>
          </a:pPr>
          <a:r>
            <a:rPr lang="en-US" sz="1200" b="0" i="0" u="none" strike="noStrike" baseline="0">
              <a:solidFill>
                <a:srgbClr val="000000"/>
              </a:solidFill>
              <a:latin typeface="CG Omega"/>
            </a:rPr>
            <a:t>5. Enter </a:t>
          </a:r>
          <a:r>
            <a:rPr lang="en-US" sz="1200" b="1" i="0" u="none" strike="noStrike" baseline="0">
              <a:solidFill>
                <a:srgbClr val="000000"/>
              </a:solidFill>
              <a:latin typeface="CG Omega"/>
            </a:rPr>
            <a:t>Acct Short Name/ Grant Number</a:t>
          </a:r>
          <a:r>
            <a:rPr lang="en-US" sz="1200" b="0" i="0" u="none" strike="noStrike" baseline="0">
              <a:solidFill>
                <a:srgbClr val="000000"/>
              </a:solidFill>
              <a:latin typeface="CG Omega"/>
            </a:rPr>
            <a:t> in column B. Insert additional rows and copy/paste formulas as needed. When inserting rows for additional </a:t>
          </a:r>
          <a:r>
            <a:rPr lang="en-US" sz="1200" b="1" i="0" u="none" strike="noStrike" baseline="0">
              <a:solidFill>
                <a:srgbClr val="000000"/>
              </a:solidFill>
              <a:latin typeface="CG Omega"/>
            </a:rPr>
            <a:t>grant chart strings</a:t>
          </a:r>
          <a:r>
            <a:rPr lang="en-US" sz="1200" b="0" i="0" u="none" strike="noStrike" baseline="0">
              <a:solidFill>
                <a:srgbClr val="000000"/>
              </a:solidFill>
              <a:latin typeface="CG Omega"/>
            </a:rPr>
            <a:t>, you will need to insert a new </a:t>
          </a:r>
          <a:r>
            <a:rPr lang="en-US" sz="1200" b="1" i="0" u="none" strike="noStrike" baseline="0">
              <a:solidFill>
                <a:srgbClr val="000000"/>
              </a:solidFill>
              <a:latin typeface="CG Omega"/>
            </a:rPr>
            <a:t>corresponding row for cost sharing chart string</a:t>
          </a:r>
          <a:r>
            <a:rPr lang="en-US" sz="1200" b="0" i="0" u="none" strike="noStrike" baseline="0">
              <a:solidFill>
                <a:srgbClr val="000000"/>
              </a:solidFill>
              <a:latin typeface="CG Omega"/>
            </a:rPr>
            <a:t>. Math check is incorporated into column I, rows 19-21 to ensure cost share % salary + % base salary = % committed sponsored project effort.</a:t>
          </a:r>
        </a:p>
        <a:p>
          <a:pPr algn="l" rtl="0">
            <a:defRPr sz="1000"/>
          </a:pPr>
          <a:endParaRPr lang="en-US" sz="1200" b="0" i="0" u="none" strike="noStrike" baseline="0">
            <a:solidFill>
              <a:srgbClr val="000000"/>
            </a:solidFill>
            <a:latin typeface="CG Omega"/>
          </a:endParaRPr>
        </a:p>
        <a:p>
          <a:pPr algn="l" rtl="0">
            <a:defRPr sz="1000"/>
          </a:pPr>
          <a:r>
            <a:rPr lang="en-US" sz="1200" b="0" i="0" u="none" strike="noStrike" baseline="0">
              <a:solidFill>
                <a:srgbClr val="000000"/>
              </a:solidFill>
              <a:latin typeface="CG Omega"/>
            </a:rPr>
            <a:t>6. Enter </a:t>
          </a:r>
          <a:r>
            <a:rPr lang="en-US" sz="1200" b="1" i="0" u="none" strike="noStrike" baseline="0">
              <a:solidFill>
                <a:srgbClr val="000000"/>
              </a:solidFill>
              <a:latin typeface="CG Omega"/>
            </a:rPr>
            <a:t>chart strings</a:t>
          </a:r>
          <a:r>
            <a:rPr lang="en-US" sz="1200" b="0" i="0" u="none" strike="noStrike" baseline="0">
              <a:solidFill>
                <a:srgbClr val="000000"/>
              </a:solidFill>
              <a:latin typeface="CG Omega"/>
            </a:rPr>
            <a:t> in column C.</a:t>
          </a:r>
        </a:p>
        <a:p>
          <a:pPr algn="l" rtl="0">
            <a:defRPr sz="1000"/>
          </a:pPr>
          <a:endParaRPr lang="en-US" sz="1200" b="0" i="0" u="none" strike="noStrike" baseline="0">
            <a:solidFill>
              <a:srgbClr val="000000"/>
            </a:solidFill>
            <a:latin typeface="CG Omega"/>
          </a:endParaRPr>
        </a:p>
        <a:p>
          <a:pPr algn="l" rtl="0">
            <a:defRPr sz="1000"/>
          </a:pPr>
          <a:r>
            <a:rPr lang="en-US" sz="1200" b="0" i="0" u="none" strike="noStrike" baseline="0">
              <a:solidFill>
                <a:srgbClr val="000000"/>
              </a:solidFill>
              <a:latin typeface="CG Omega"/>
            </a:rPr>
            <a:t>7. Enter yes or no (Y/N) in column D to indicate whether or not a </a:t>
          </a:r>
          <a:r>
            <a:rPr lang="en-US" sz="1200" b="1" i="0" u="none" strike="noStrike" baseline="0">
              <a:solidFill>
                <a:srgbClr val="000000"/>
              </a:solidFill>
              <a:latin typeface="CG Omega"/>
            </a:rPr>
            <a:t>salary cap</a:t>
          </a:r>
          <a:r>
            <a:rPr lang="en-US" sz="1200" b="0" i="0" u="none" strike="noStrike" baseline="0">
              <a:solidFill>
                <a:srgbClr val="000000"/>
              </a:solidFill>
              <a:latin typeface="CG Omega"/>
            </a:rPr>
            <a:t> is required. Enter amount of salary cap in column E.</a:t>
          </a:r>
        </a:p>
        <a:p>
          <a:pPr algn="l" rtl="0">
            <a:defRPr sz="1000"/>
          </a:pPr>
          <a:endParaRPr lang="en-US" sz="1200" b="0" i="0" u="none" strike="noStrike" baseline="0">
            <a:solidFill>
              <a:srgbClr val="000000"/>
            </a:solidFill>
            <a:latin typeface="CG Omega"/>
          </a:endParaRPr>
        </a:p>
        <a:p>
          <a:pPr algn="l" rtl="0">
            <a:defRPr sz="1000"/>
          </a:pPr>
          <a:r>
            <a:rPr lang="en-US" sz="1200" b="0" i="0" u="none" strike="noStrike" baseline="0">
              <a:solidFill>
                <a:srgbClr val="000000"/>
              </a:solidFill>
              <a:latin typeface="CG Omega"/>
            </a:rPr>
            <a:t>8. For </a:t>
          </a:r>
          <a:r>
            <a:rPr lang="en-US" sz="1200" b="1" i="0" u="none" strike="noStrike" baseline="0">
              <a:solidFill>
                <a:srgbClr val="000000"/>
              </a:solidFill>
              <a:latin typeface="CG Omega"/>
            </a:rPr>
            <a:t>sponsored project chart strings</a:t>
          </a:r>
          <a:r>
            <a:rPr lang="en-US" sz="1200" b="0" i="0" u="none" strike="noStrike" baseline="0">
              <a:solidFill>
                <a:srgbClr val="000000"/>
              </a:solidFill>
              <a:latin typeface="CG Omega"/>
            </a:rPr>
            <a:t>, enter </a:t>
          </a:r>
          <a:r>
            <a:rPr lang="en-US" sz="1200" b="1" i="0" u="none" strike="noStrike" baseline="0">
              <a:solidFill>
                <a:srgbClr val="000000"/>
              </a:solidFill>
              <a:latin typeface="CG Omega"/>
            </a:rPr>
            <a:t>% committed effort</a:t>
          </a:r>
          <a:r>
            <a:rPr lang="en-US" sz="1200" b="0" i="0" u="none" strike="noStrike" baseline="0">
              <a:solidFill>
                <a:srgbClr val="000000"/>
              </a:solidFill>
              <a:latin typeface="CG Omega"/>
            </a:rPr>
            <a:t> (from approved application budget) in column I, rows 11-4. The worksheet will automatically calculate % NU salary (in column H), % base salary (in column G) and applicable cost sharing (in rows 19-21). Future months' effort will automatically carry forward. To change future months effort, simply enter revised effort commitment in the yellow highlighted cell for that month.</a:t>
          </a:r>
        </a:p>
        <a:p>
          <a:pPr algn="l" rtl="0">
            <a:defRPr sz="1000"/>
          </a:pPr>
          <a:endParaRPr lang="en-US" sz="1200" b="0" i="0" u="none" strike="noStrike" baseline="0">
            <a:solidFill>
              <a:srgbClr val="000000"/>
            </a:solidFill>
            <a:latin typeface="CG Omega"/>
          </a:endParaRPr>
        </a:p>
        <a:p>
          <a:pPr algn="l" rtl="0">
            <a:defRPr sz="1000"/>
          </a:pPr>
          <a:r>
            <a:rPr lang="en-US" sz="1200" b="0" i="0" u="none" strike="noStrike" baseline="0">
              <a:solidFill>
                <a:srgbClr val="000000"/>
              </a:solidFill>
              <a:latin typeface="CG Omega"/>
            </a:rPr>
            <a:t>9. For each sponsored project, enter the </a:t>
          </a:r>
          <a:r>
            <a:rPr lang="en-US" sz="1200" b="1" i="0" u="none" strike="noStrike" baseline="0">
              <a:solidFill>
                <a:srgbClr val="000000"/>
              </a:solidFill>
              <a:latin typeface="CG Omega"/>
            </a:rPr>
            <a:t>number of award months </a:t>
          </a:r>
          <a:r>
            <a:rPr lang="en-US" sz="1200" b="0" i="0" u="none" strike="noStrike" baseline="0">
              <a:solidFill>
                <a:srgbClr val="000000"/>
              </a:solidFill>
              <a:latin typeface="CG Omega"/>
            </a:rPr>
            <a:t>during the current fiscal year in column BH. For example, if an award begins 12/01/2011, then there are 9 award months during FY11 (Dec-Aug). Likewise, if an award began in a previous fiscal year, but has not yet been charged, then you would include those uncharged months. (See row 14 that reflects an award that began 07/01/2010, but was not charged until FY11 in attached sample template.)</a:t>
          </a:r>
        </a:p>
        <a:p>
          <a:pPr algn="l" rtl="0">
            <a:defRPr sz="1000"/>
          </a:pPr>
          <a:endParaRPr lang="en-US" sz="1200" b="0" i="0" u="none" strike="noStrike" baseline="0">
            <a:solidFill>
              <a:srgbClr val="000000"/>
            </a:solidFill>
            <a:latin typeface="CG Omega"/>
          </a:endParaRPr>
        </a:p>
        <a:p>
          <a:pPr algn="l" rtl="0">
            <a:defRPr sz="1000"/>
          </a:pPr>
          <a:r>
            <a:rPr lang="en-US" sz="1200" b="0" i="0" u="none" strike="noStrike" baseline="0">
              <a:solidFill>
                <a:srgbClr val="000000"/>
              </a:solidFill>
              <a:latin typeface="CG Omega"/>
            </a:rPr>
            <a:t>10. For each sponsored project, enter the </a:t>
          </a:r>
          <a:r>
            <a:rPr lang="en-US" sz="1200" b="1" i="0" u="none" strike="noStrike" baseline="0">
              <a:solidFill>
                <a:srgbClr val="000000"/>
              </a:solidFill>
              <a:latin typeface="CG Omega"/>
            </a:rPr>
            <a:t>% committed effort</a:t>
          </a:r>
          <a:r>
            <a:rPr lang="en-US" sz="1200" b="0" i="0" u="none" strike="noStrike" baseline="0">
              <a:solidFill>
                <a:srgbClr val="000000"/>
              </a:solidFill>
              <a:latin typeface="CG Omega"/>
            </a:rPr>
            <a:t> (from approved application budget) in column BL. The worksheet will automatically confirm that annualized effort is equivalent to committed effort. If column BN (net difference is &gt; or &lt; 0, then there may be an issue with committed effort vs. reported effort.</a:t>
          </a:r>
        </a:p>
        <a:p>
          <a:pPr algn="l" rtl="0">
            <a:defRPr sz="1000"/>
          </a:pPr>
          <a:endParaRPr lang="en-US" sz="1200" b="0" i="0" u="none" strike="noStrike" baseline="0">
            <a:solidFill>
              <a:srgbClr val="000000"/>
            </a:solidFill>
            <a:latin typeface="CG Omega"/>
          </a:endParaRPr>
        </a:p>
        <a:p>
          <a:pPr algn="l" rtl="0">
            <a:defRPr sz="1000"/>
          </a:pPr>
          <a:r>
            <a:rPr lang="en-US" sz="1200" b="0" i="0" u="none" strike="noStrike" baseline="0">
              <a:solidFill>
                <a:srgbClr val="000000"/>
              </a:solidFill>
              <a:latin typeface="CG Omega"/>
            </a:rPr>
            <a:t>11. Enter entire </a:t>
          </a:r>
          <a:r>
            <a:rPr lang="en-US" sz="1200" b="1" i="0" u="none" strike="noStrike" baseline="0">
              <a:solidFill>
                <a:srgbClr val="000000"/>
              </a:solidFill>
              <a:latin typeface="CG Omega"/>
            </a:rPr>
            <a:t>project period</a:t>
          </a:r>
          <a:r>
            <a:rPr lang="en-US" sz="1200" b="0" i="0" u="none" strike="noStrike" baseline="0">
              <a:solidFill>
                <a:srgbClr val="000000"/>
              </a:solidFill>
              <a:latin typeface="CG Omega"/>
            </a:rPr>
            <a:t> for each sposnored project and/or other comments in column BM. This is a handy guide for award months calculation and future fiscal year projections.</a:t>
          </a:r>
        </a:p>
        <a:p>
          <a:pPr algn="l" rtl="0">
            <a:defRPr sz="1000"/>
          </a:pPr>
          <a:endParaRPr lang="en-US" sz="1200" b="0" i="0" u="none" strike="noStrike" baseline="0">
            <a:solidFill>
              <a:srgbClr val="000000"/>
            </a:solidFill>
            <a:latin typeface="CG Omega"/>
          </a:endParaRPr>
        </a:p>
        <a:p>
          <a:pPr algn="l" rtl="0">
            <a:defRPr sz="1000"/>
          </a:pPr>
          <a:r>
            <a:rPr lang="en-US" sz="1200" b="0" i="0" u="none" strike="noStrike" baseline="0">
              <a:solidFill>
                <a:srgbClr val="000000"/>
              </a:solidFill>
              <a:latin typeface="CG Omega"/>
            </a:rPr>
            <a:t>12. For non-grant chart strings, there are two options. The current worksheet requires that you enter the </a:t>
          </a:r>
          <a:r>
            <a:rPr lang="en-US" sz="1200" b="1" i="0" u="none" strike="noStrike" baseline="0">
              <a:solidFill>
                <a:srgbClr val="000000"/>
              </a:solidFill>
              <a:latin typeface="CG Omega"/>
            </a:rPr>
            <a:t>% commitment for administrative role</a:t>
          </a:r>
          <a:r>
            <a:rPr lang="en-US" sz="1200" b="0" i="0" u="none" strike="noStrike" baseline="0">
              <a:solidFill>
                <a:srgbClr val="000000"/>
              </a:solidFill>
              <a:latin typeface="CG Omega"/>
            </a:rPr>
            <a:t> (charged to endowed chair for example). The current worksheet also utilizes the unit's operating account to automatically absorb any </a:t>
          </a:r>
          <a:r>
            <a:rPr lang="en-US" sz="1200" b="1" i="0" u="none" strike="noStrike" baseline="0">
              <a:solidFill>
                <a:srgbClr val="000000"/>
              </a:solidFill>
              <a:latin typeface="CG Omega"/>
            </a:rPr>
            <a:t>remaining salary costs</a:t>
          </a:r>
          <a:r>
            <a:rPr lang="en-US" sz="1200" b="0" i="0" u="none" strike="noStrike" baseline="0">
              <a:solidFill>
                <a:srgbClr val="000000"/>
              </a:solidFill>
              <a:latin typeface="CG Omega"/>
            </a:rPr>
            <a:t> not funded through sponsored projects, clinical activities, etc. Future months' effort will automatically carry forward. To change future months effort, simply enter revised effort commitment in the yellow highlighted cell for that month.</a:t>
          </a:r>
        </a:p>
        <a:p>
          <a:pPr algn="l" rtl="0">
            <a:defRPr sz="1000"/>
          </a:pPr>
          <a:endParaRPr lang="en-US" sz="1200" b="0" i="0" u="none" strike="noStrike" baseline="0">
            <a:solidFill>
              <a:srgbClr val="000000"/>
            </a:solidFill>
            <a:latin typeface="CG Omega"/>
          </a:endParaRPr>
        </a:p>
        <a:p>
          <a:pPr algn="l" rtl="0">
            <a:defRPr sz="1000"/>
          </a:pPr>
          <a:r>
            <a:rPr lang="en-US" sz="1200" b="0" i="0" u="none" strike="noStrike" baseline="0">
              <a:solidFill>
                <a:srgbClr val="000000"/>
              </a:solidFill>
              <a:latin typeface="CG Omega"/>
            </a:rPr>
            <a:t>13. All the "TRUE" returns throughout the worksheet are </a:t>
          </a:r>
          <a:r>
            <a:rPr lang="en-US" sz="1200" b="1" i="0" u="none" strike="noStrike" baseline="0">
              <a:solidFill>
                <a:srgbClr val="000000"/>
              </a:solidFill>
              <a:latin typeface="CG Omega"/>
            </a:rPr>
            <a:t>math checks</a:t>
          </a:r>
          <a:r>
            <a:rPr lang="en-US" sz="1200" b="0" i="0" u="none" strike="noStrike" baseline="0">
              <a:solidFill>
                <a:srgbClr val="000000"/>
              </a:solidFill>
              <a:latin typeface="CG Omega"/>
            </a:rPr>
            <a:t> to ensure proper use of formulas. Should one of these cells return "FALSE", there may be a problem with the formulas from an edited worksheet.</a:t>
          </a:r>
        </a:p>
        <a:p>
          <a:pPr algn="l" rtl="0">
            <a:defRPr sz="1000"/>
          </a:pPr>
          <a:endParaRPr lang="en-US" sz="1200" b="0" i="0" u="none" strike="noStrike" baseline="0">
            <a:solidFill>
              <a:srgbClr val="000000"/>
            </a:solidFill>
            <a:latin typeface="CG Omega"/>
          </a:endParaRPr>
        </a:p>
        <a:p>
          <a:pPr algn="l" rtl="0">
            <a:defRPr sz="1000"/>
          </a:pPr>
          <a:r>
            <a:rPr lang="en-US" sz="1200" b="0" i="0" u="none" strike="noStrike" baseline="0">
              <a:solidFill>
                <a:srgbClr val="000000"/>
              </a:solidFill>
              <a:latin typeface="CG Omega"/>
            </a:rPr>
            <a:t>14. NOTE: This budge template is to be used for faculty with </a:t>
          </a:r>
          <a:r>
            <a:rPr lang="en-US" sz="1200" b="1" i="0" u="none" strike="noStrike" baseline="0">
              <a:solidFill>
                <a:srgbClr val="000000"/>
              </a:solidFill>
              <a:latin typeface="CG Omega"/>
            </a:rPr>
            <a:t>12-month appointments</a:t>
          </a:r>
          <a:r>
            <a:rPr lang="en-US" sz="1200" b="0" i="0" u="none" strike="noStrike" baseline="0">
              <a:solidFill>
                <a:srgbClr val="000000"/>
              </a:solidFill>
              <a:latin typeface="CG Omega"/>
            </a:rPr>
            <a:t>. Of course, one size never really fits all, so you may need to edit this worksheet according to the funding profile of each faculty member. Please feel free to contact Michelle Grana at 3-2899; mgrana@northwestern.edu if you have any questions about using this template.</a:t>
          </a:r>
        </a:p>
        <a:p>
          <a:pPr algn="l" rtl="0">
            <a:defRPr sz="1000"/>
          </a:pPr>
          <a:endParaRPr lang="en-US" sz="1200" b="0" i="0" u="none" strike="noStrike" baseline="0">
            <a:solidFill>
              <a:srgbClr val="000000"/>
            </a:solidFill>
            <a:latin typeface="CG Omega"/>
          </a:endParaRPr>
        </a:p>
        <a:p>
          <a:pPr algn="l" rtl="0">
            <a:defRPr sz="1000"/>
          </a:pPr>
          <a:endParaRPr lang="en-US" sz="1200" b="0" i="0" u="none" strike="noStrike" baseline="0">
            <a:solidFill>
              <a:srgbClr val="000000"/>
            </a:solidFill>
            <a:latin typeface="CG Omega"/>
          </a:endParaRPr>
        </a:p>
        <a:p>
          <a:pPr algn="l" rtl="0">
            <a:defRPr sz="1000"/>
          </a:pPr>
          <a:endParaRPr lang="en-US" sz="1200" b="0" i="0" u="none" strike="noStrike" baseline="0">
            <a:solidFill>
              <a:srgbClr val="000000"/>
            </a:solidFill>
            <a:latin typeface="CG Omega"/>
          </a:endParaRPr>
        </a:p>
        <a:p>
          <a:pPr algn="l" rtl="0">
            <a:defRPr sz="1000"/>
          </a:pPr>
          <a:endParaRPr lang="en-US" sz="1200" b="0" i="0" u="none" strike="noStrike" baseline="0">
            <a:solidFill>
              <a:srgbClr val="000000"/>
            </a:solidFill>
            <a:latin typeface="CG Omega"/>
          </a:endParaRPr>
        </a:p>
        <a:p>
          <a:pPr algn="l" rtl="0">
            <a:defRPr sz="1000"/>
          </a:pPr>
          <a:endParaRPr lang="en-US" sz="1200" b="0" i="0" u="none" strike="noStrike" baseline="0">
            <a:solidFill>
              <a:srgbClr val="000000"/>
            </a:solidFill>
            <a:latin typeface="CG Omeg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ngle_researcher_by_rank_growth_assumption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adminfinance.iusm.iu.edu/operations/Research%20Webpages/Forms%20Page/PHS398%20(09-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NewBuilding_SinglePI_DBBProgramming_11-9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nance/Daily%20Budget%20Worksheets/FY12%20Budget%20Project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BSProf"/>
      <sheetName val="CProf"/>
      <sheetName val="BSAssoc"/>
      <sheetName val="CAssoc"/>
      <sheetName val="BSAsst"/>
      <sheetName val="CAsst"/>
      <sheetName val="Blended"/>
      <sheetName val="Calculations"/>
      <sheetName val="Summary Data"/>
    </sheetNames>
    <sheetDataSet>
      <sheetData sheetId="0" refreshError="1"/>
      <sheetData sheetId="1"/>
      <sheetData sheetId="2"/>
      <sheetData sheetId="3"/>
      <sheetData sheetId="4"/>
      <sheetData sheetId="5"/>
      <sheetData sheetId="6"/>
      <sheetData sheetId="7" refreshError="1"/>
      <sheetData sheetId="8" refreshError="1"/>
      <sheetData sheetId="9">
        <row r="30">
          <cell r="G30">
            <v>550</v>
          </cell>
        </row>
        <row r="31">
          <cell r="G31">
            <v>380</v>
          </cell>
        </row>
        <row r="35">
          <cell r="B35">
            <v>0.26900000000000002</v>
          </cell>
        </row>
        <row r="36">
          <cell r="B36">
            <v>0.04</v>
          </cell>
        </row>
        <row r="37">
          <cell r="B37">
            <v>125</v>
          </cell>
          <cell r="E37">
            <v>0.15</v>
          </cell>
          <cell r="F37">
            <v>0.05</v>
          </cell>
        </row>
        <row r="38">
          <cell r="E38">
            <v>0.2</v>
          </cell>
          <cell r="F38">
            <v>0.1</v>
          </cell>
        </row>
        <row r="39">
          <cell r="E39">
            <v>0.35</v>
          </cell>
          <cell r="F39">
            <v>0.15</v>
          </cell>
        </row>
        <row r="43">
          <cell r="G43">
            <v>1600</v>
          </cell>
          <cell r="I43">
            <v>100</v>
          </cell>
        </row>
        <row r="44">
          <cell r="G44">
            <v>1100</v>
          </cell>
          <cell r="H44">
            <v>160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E"/>
      <sheetName val="FIRSTBUD"/>
      <sheetName val="ENTRBUD"/>
      <sheetName val="CHKLST"/>
      <sheetName val="F &amp; A Calculation"/>
      <sheetName val="NRSA Page 4"/>
      <sheetName val="NRSA Page 5"/>
    </sheetNames>
    <sheetDataSet>
      <sheetData sheetId="0"/>
      <sheetData sheetId="1">
        <row r="39">
          <cell r="I39">
            <v>0</v>
          </cell>
        </row>
        <row r="41">
          <cell r="I41">
            <v>0</v>
          </cell>
        </row>
      </sheetData>
      <sheetData sheetId="2">
        <row r="21">
          <cell r="G21">
            <v>0</v>
          </cell>
        </row>
      </sheetData>
      <sheetData sheetId="3">
        <row r="42">
          <cell r="O42">
            <v>0</v>
          </cell>
        </row>
      </sheetData>
      <sheetData sheetId="4"/>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20 Year Financial Summary"/>
      <sheetName val="Space costs"/>
      <sheetName val="PI costs and cohorts"/>
      <sheetName val="PI sources of support"/>
      <sheetName val="Single researcher"/>
      <sheetName val="5 Years 20 PIs"/>
      <sheetName val="Salary cap differential base"/>
      <sheetName val="Assumption flow"/>
    </sheetNames>
    <sheetDataSet>
      <sheetData sheetId="0" refreshError="1"/>
      <sheetData sheetId="1" refreshError="1"/>
      <sheetData sheetId="2"/>
      <sheetData sheetId="3">
        <row r="5">
          <cell r="F5">
            <v>1.6</v>
          </cell>
        </row>
      </sheetData>
      <sheetData sheetId="4"/>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ulty Salary Charts"/>
      <sheetName val="Emanuel Chart"/>
      <sheetName val="Berdes Chart"/>
      <sheetName val="Chang Chart"/>
      <sheetName val="Hauser Chart"/>
      <sheetName val="Lau Chart"/>
      <sheetName val="Preodor Chart"/>
      <sheetName val="Faculty Salary Data"/>
      <sheetName val="Berdes 12"/>
      <sheetName val="Chang 12"/>
      <sheetName val="Emanuel 12"/>
      <sheetName val="Hauser 12"/>
      <sheetName val="PREODOR 09"/>
      <sheetName val="SCANDRETT 12"/>
      <sheetName val="FSM Fac Sal Table"/>
      <sheetName val="MARGOLIS 12"/>
      <sheetName val="STAFF 12"/>
      <sheetName val="Income Charts"/>
      <sheetName val="proj vs actual"/>
      <sheetName val="COMPOSITE 07"/>
      <sheetName val="COMPOSITE 08"/>
      <sheetName val="cufs08"/>
      <sheetName val="grantsum_chrtstrg"/>
      <sheetName val="COMPOSITE FY09"/>
      <sheetName val="COMMENTS"/>
      <sheetName val="nufin09"/>
      <sheetName val="COMPOSITE FY10"/>
      <sheetName val="paydates"/>
      <sheetName val="COMPOSITE FY11"/>
      <sheetName val="COMPOSITE FY12"/>
      <sheetName val="fac sal sources"/>
      <sheetName val="B1"/>
      <sheetName val="B1-OPEN-REPLACE"/>
      <sheetName val="B1-NEW INITIATIVES"/>
      <sheetName val="B5"/>
      <sheetName val="Buehler Operating"/>
      <sheetName val="EPEC Revenue"/>
      <sheetName val="PSEP Revenue"/>
      <sheetName val="Emanuel PI"/>
      <sheetName val="Lau PI"/>
      <sheetName val="Scandrett PI"/>
      <sheetName val="Kidswalk"/>
      <sheetName val="Res &amp; Educ"/>
      <sheetName val="GIFT ACCT"/>
      <sheetName val="Pollack Endow"/>
      <sheetName val="Buehler Chair Endow"/>
      <sheetName val="Smart Aging Endow"/>
      <sheetName val="Fam Found Endow"/>
      <sheetName val="Eisenberg Endow"/>
      <sheetName val="DWE Smith Endow"/>
      <sheetName val="EPEC-VA"/>
      <sheetName val="Emanuel R01D"/>
      <sheetName val="Simon R03"/>
      <sheetName val="EPEC-Peds R25 SUBK"/>
      <sheetName val="HRETAHRQ Flextra"/>
      <sheetName val="Econometrica"/>
      <sheetName val="JCR"/>
      <sheetName val="Emanuel JHF Caregiver"/>
      <sheetName val="Emanuel ACS"/>
      <sheetName val="Emanuel CPSI"/>
      <sheetName val="Simon Jahnigen"/>
      <sheetName val="Simon JCDA COST SHARE"/>
      <sheetName val="Emanuel HCC-Templeton"/>
      <sheetName val="Vergo ACS"/>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sheetData sheetId="9"/>
      <sheetData sheetId="10"/>
      <sheetData sheetId="11">
        <row r="21">
          <cell r="AM21">
            <v>53475</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election activeCell="Q15" sqref="Q15"/>
    </sheetView>
  </sheetViews>
  <sheetFormatPr defaultRowHeight="12.75" x14ac:dyDescent="0.2"/>
  <sheetData/>
  <phoneticPr fontId="0" type="noConversion"/>
  <printOptions horizontalCentered="1" verticalCentered="1"/>
  <pageMargins left="0.25" right="0.25" top="0.25" bottom="0.25" header="0.5" footer="0.5"/>
  <pageSetup scale="8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3"/>
  </sheetPr>
  <dimension ref="A1:BR28"/>
  <sheetViews>
    <sheetView zoomScale="75" zoomScaleNormal="75" zoomScaleSheetLayoutView="50" workbookViewId="0">
      <pane xSplit="5" topLeftCell="F1" activePane="topRight" state="frozen"/>
      <selection pane="topRight" activeCell="M4" sqref="M4"/>
    </sheetView>
  </sheetViews>
  <sheetFormatPr defaultRowHeight="12.75" x14ac:dyDescent="0.2"/>
  <cols>
    <col min="1" max="1" width="21" style="7" customWidth="1"/>
    <col min="2" max="2" width="27" style="7" customWidth="1"/>
    <col min="3" max="3" width="25" style="7" customWidth="1"/>
    <col min="4" max="4" width="14.28515625" style="3" customWidth="1"/>
    <col min="5" max="5" width="15.140625" style="3" customWidth="1"/>
    <col min="6" max="6" width="14.140625" style="3" customWidth="1"/>
    <col min="7" max="8" width="9.7109375" style="8" customWidth="1"/>
    <col min="9" max="9" width="9.85546875" style="8" customWidth="1"/>
    <col min="10" max="10" width="14.140625" style="3" customWidth="1"/>
    <col min="11" max="12" width="9.7109375" style="8" customWidth="1"/>
    <col min="13" max="13" width="9.85546875" style="8" customWidth="1"/>
    <col min="14" max="14" width="14.140625" style="3" customWidth="1"/>
    <col min="15" max="16" width="9.7109375" style="8" customWidth="1"/>
    <col min="17" max="17" width="9.85546875" style="8" customWidth="1"/>
    <col min="18" max="18" width="13" style="8" customWidth="1"/>
    <col min="19" max="19" width="14.140625" style="3" customWidth="1"/>
    <col min="20" max="21" width="9.7109375" style="8" customWidth="1"/>
    <col min="22" max="22" width="9.85546875" style="8" customWidth="1"/>
    <col min="23" max="23" width="14.140625" style="3" customWidth="1"/>
    <col min="24" max="25" width="9.7109375" style="8" customWidth="1"/>
    <col min="26" max="26" width="9.85546875" style="8" customWidth="1"/>
    <col min="27" max="27" width="14.140625" style="3" customWidth="1"/>
    <col min="28" max="29" width="9.7109375" style="8" customWidth="1"/>
    <col min="30" max="30" width="9.85546875" style="8" customWidth="1"/>
    <col min="31" max="31" width="13" style="8" customWidth="1"/>
    <col min="32" max="32" width="14.140625" style="3" customWidth="1"/>
    <col min="33" max="34" width="9.7109375" style="8" customWidth="1"/>
    <col min="35" max="35" width="9.85546875" style="8" customWidth="1"/>
    <col min="36" max="36" width="14.140625" style="3" customWidth="1"/>
    <col min="37" max="38" width="9.7109375" style="8" customWidth="1"/>
    <col min="39" max="39" width="9.85546875" style="8" customWidth="1"/>
    <col min="40" max="40" width="14.140625" style="3" customWidth="1"/>
    <col min="41" max="42" width="9.7109375" style="8" customWidth="1"/>
    <col min="43" max="43" width="9.85546875" style="8" customWidth="1"/>
    <col min="44" max="44" width="13" style="8" customWidth="1"/>
    <col min="45" max="45" width="14.140625" style="3" customWidth="1"/>
    <col min="46" max="47" width="9.7109375" style="8" customWidth="1"/>
    <col min="48" max="48" width="9.85546875" style="8" customWidth="1"/>
    <col min="49" max="49" width="14.140625" style="3" customWidth="1"/>
    <col min="50" max="51" width="9.7109375" style="8" customWidth="1"/>
    <col min="52" max="52" width="9.85546875" style="8" customWidth="1"/>
    <col min="53" max="53" width="14.140625" style="3" customWidth="1"/>
    <col min="54" max="55" width="9.7109375" style="8" customWidth="1"/>
    <col min="56" max="56" width="9.85546875" style="8" customWidth="1"/>
    <col min="57" max="57" width="13" style="8" customWidth="1"/>
    <col min="58" max="58" width="16.7109375" style="3" customWidth="1"/>
    <col min="59" max="59" width="13" style="3" customWidth="1"/>
    <col min="60" max="60" width="11.28515625" style="3" bestFit="1" customWidth="1"/>
    <col min="61" max="62" width="11.5703125" style="3" customWidth="1"/>
    <col min="63" max="63" width="10.85546875" style="3" customWidth="1"/>
    <col min="64" max="64" width="15.85546875" style="3" customWidth="1"/>
    <col min="65" max="65" width="23.85546875" style="8" customWidth="1"/>
    <col min="66" max="66" width="9.140625" style="3"/>
    <col min="67" max="16384" width="9.140625" style="4"/>
  </cols>
  <sheetData>
    <row r="1" spans="1:70" ht="20.25" x14ac:dyDescent="0.2">
      <c r="A1" s="1" t="s">
        <v>30</v>
      </c>
      <c r="B1" s="138" t="s">
        <v>213</v>
      </c>
      <c r="D1" s="2"/>
      <c r="E1" s="2"/>
      <c r="F1" s="2"/>
      <c r="G1" s="86"/>
      <c r="H1" s="86"/>
      <c r="I1" s="86"/>
      <c r="J1" s="2"/>
      <c r="K1" s="86"/>
      <c r="L1" s="86"/>
      <c r="M1" s="86"/>
      <c r="N1" s="2"/>
      <c r="O1" s="86"/>
      <c r="P1" s="86"/>
      <c r="Q1" s="86"/>
      <c r="R1" s="86"/>
      <c r="S1" s="2"/>
      <c r="T1" s="86"/>
      <c r="U1" s="86"/>
      <c r="V1" s="86"/>
      <c r="W1" s="2"/>
      <c r="X1" s="86"/>
      <c r="Y1" s="86"/>
      <c r="Z1" s="86"/>
      <c r="AA1" s="2"/>
      <c r="AB1" s="86"/>
      <c r="AC1" s="86"/>
      <c r="AD1" s="86"/>
      <c r="AE1" s="86"/>
      <c r="AF1" s="2"/>
      <c r="AG1" s="86"/>
      <c r="AH1" s="86"/>
      <c r="AI1" s="86"/>
      <c r="AJ1" s="2"/>
      <c r="AK1" s="86"/>
      <c r="AL1" s="86"/>
      <c r="AM1" s="86"/>
      <c r="AN1" s="2"/>
      <c r="AO1" s="86"/>
      <c r="AP1" s="86"/>
      <c r="AQ1" s="86"/>
      <c r="AR1" s="86"/>
      <c r="AS1" s="2"/>
      <c r="AT1" s="86"/>
      <c r="AU1" s="86"/>
      <c r="AV1" s="86"/>
      <c r="AW1" s="2"/>
      <c r="AX1" s="86"/>
      <c r="AY1" s="86"/>
      <c r="AZ1" s="86"/>
      <c r="BA1" s="2"/>
      <c r="BB1" s="86"/>
      <c r="BC1" s="86"/>
      <c r="BD1" s="86"/>
      <c r="BE1" s="86"/>
    </row>
    <row r="2" spans="1:70" ht="15.75" x14ac:dyDescent="0.2">
      <c r="C2" s="4"/>
      <c r="D2" s="30" t="s">
        <v>31</v>
      </c>
      <c r="E2" s="61">
        <f>E7+E6</f>
        <v>285991.15999999997</v>
      </c>
      <c r="F2" s="2"/>
      <c r="G2" s="86"/>
      <c r="H2" s="86"/>
      <c r="I2" s="86"/>
      <c r="J2" s="2"/>
      <c r="K2" s="86"/>
      <c r="L2" s="86"/>
      <c r="M2" s="86"/>
      <c r="N2" s="2"/>
      <c r="O2" s="86"/>
      <c r="P2" s="86"/>
      <c r="Q2" s="86"/>
      <c r="R2" s="86"/>
      <c r="S2" s="2"/>
      <c r="T2" s="86"/>
      <c r="U2" s="86"/>
      <c r="V2" s="86"/>
      <c r="W2" s="2"/>
      <c r="X2" s="86"/>
      <c r="Y2" s="86"/>
      <c r="Z2" s="86"/>
      <c r="AA2" s="2"/>
      <c r="AB2" s="86"/>
      <c r="AC2" s="86"/>
      <c r="AD2" s="86"/>
      <c r="AE2" s="86"/>
      <c r="AF2" s="2"/>
      <c r="AG2" s="86"/>
      <c r="AH2" s="86"/>
      <c r="AI2" s="86"/>
      <c r="AJ2" s="2"/>
      <c r="AK2" s="86"/>
      <c r="AL2" s="86"/>
      <c r="AM2" s="86"/>
      <c r="AN2" s="2"/>
      <c r="AO2" s="86"/>
      <c r="AP2" s="86"/>
      <c r="AQ2" s="86"/>
      <c r="AR2" s="86"/>
      <c r="AS2" s="2"/>
      <c r="AT2" s="86"/>
      <c r="AU2" s="86"/>
      <c r="AV2" s="86"/>
      <c r="AW2" s="2"/>
      <c r="AX2" s="86"/>
      <c r="AY2" s="86"/>
      <c r="AZ2" s="86"/>
      <c r="BA2" s="2"/>
      <c r="BB2" s="86"/>
      <c r="BC2" s="86"/>
      <c r="BD2" s="86"/>
      <c r="BE2" s="86"/>
    </row>
    <row r="3" spans="1:70" ht="15.75" x14ac:dyDescent="0.2">
      <c r="C3" s="5"/>
      <c r="D3" s="30" t="s">
        <v>32</v>
      </c>
      <c r="E3" s="61">
        <f>ROUND(E2/12,2)</f>
        <v>23832.6</v>
      </c>
      <c r="F3" s="63"/>
      <c r="G3" s="86"/>
      <c r="H3" s="86"/>
      <c r="I3" s="86"/>
      <c r="J3" s="63"/>
      <c r="K3" s="86"/>
      <c r="L3" s="86"/>
      <c r="M3" s="86"/>
      <c r="N3" s="63"/>
      <c r="O3" s="86"/>
      <c r="P3" s="86"/>
      <c r="Q3" s="86"/>
      <c r="R3" s="86"/>
      <c r="S3" s="63"/>
      <c r="T3" s="86"/>
      <c r="U3" s="86"/>
      <c r="V3" s="86"/>
      <c r="W3" s="63"/>
      <c r="X3" s="86"/>
      <c r="Y3" s="86"/>
      <c r="Z3" s="86"/>
      <c r="AA3" s="63"/>
      <c r="AB3" s="86"/>
      <c r="AC3" s="86"/>
      <c r="AD3" s="86"/>
      <c r="AE3" s="86"/>
      <c r="AF3" s="63"/>
      <c r="AG3" s="86"/>
      <c r="AH3" s="86"/>
      <c r="AI3" s="86"/>
      <c r="AJ3" s="63"/>
      <c r="AK3" s="86"/>
      <c r="AL3" s="86"/>
      <c r="AM3" s="86"/>
      <c r="AN3" s="63"/>
      <c r="AO3" s="86"/>
      <c r="AP3" s="86"/>
      <c r="AQ3" s="86"/>
      <c r="AR3" s="86"/>
      <c r="AS3" s="63"/>
      <c r="AT3" s="86"/>
      <c r="AU3" s="86"/>
      <c r="AV3" s="86"/>
      <c r="AW3" s="63"/>
      <c r="AX3" s="86"/>
      <c r="AY3" s="86"/>
      <c r="AZ3" s="86"/>
      <c r="BA3" s="63"/>
      <c r="BB3" s="86"/>
      <c r="BC3" s="86"/>
      <c r="BD3" s="86"/>
      <c r="BE3" s="86"/>
      <c r="BQ3" s="4">
        <f>BQ4/6</f>
        <v>1.75</v>
      </c>
    </row>
    <row r="4" spans="1:70" ht="18" x14ac:dyDescent="0.2">
      <c r="A4" s="1" t="s">
        <v>0</v>
      </c>
      <c r="B4" s="60">
        <f ca="1">TODAY()</f>
        <v>40857</v>
      </c>
      <c r="C4" s="4"/>
      <c r="F4" s="6"/>
      <c r="G4" s="87"/>
      <c r="H4" s="87"/>
      <c r="I4" s="87"/>
      <c r="J4" s="6"/>
      <c r="K4" s="87"/>
      <c r="L4" s="87"/>
      <c r="M4" s="87"/>
      <c r="N4" s="6"/>
      <c r="O4" s="87"/>
      <c r="P4" s="87"/>
      <c r="Q4" s="87"/>
      <c r="R4" s="87"/>
      <c r="S4" s="6"/>
      <c r="T4" s="87"/>
      <c r="U4" s="87"/>
      <c r="V4" s="87"/>
      <c r="W4" s="6"/>
      <c r="X4" s="87"/>
      <c r="Y4" s="87"/>
      <c r="Z4" s="87"/>
      <c r="AA4" s="6"/>
      <c r="AB4" s="87"/>
      <c r="AC4" s="87"/>
      <c r="AD4" s="87"/>
      <c r="AE4" s="87"/>
      <c r="AF4" s="6"/>
      <c r="AG4" s="87"/>
      <c r="AH4" s="87"/>
      <c r="AI4" s="87"/>
      <c r="AJ4" s="6"/>
      <c r="AK4" s="87"/>
      <c r="AL4" s="87"/>
      <c r="AM4" s="87"/>
      <c r="AN4" s="6"/>
      <c r="AO4" s="87"/>
      <c r="AP4" s="87"/>
      <c r="AQ4" s="87"/>
      <c r="AR4" s="87"/>
      <c r="AS4" s="6"/>
      <c r="AT4" s="87"/>
      <c r="AU4" s="87"/>
      <c r="AV4" s="87"/>
      <c r="AW4" s="6"/>
      <c r="AX4" s="87"/>
      <c r="AY4" s="87"/>
      <c r="AZ4" s="87"/>
      <c r="BA4" s="6"/>
      <c r="BB4" s="87"/>
      <c r="BC4" s="87"/>
      <c r="BD4" s="87"/>
      <c r="BE4" s="87"/>
      <c r="BG4" s="98"/>
      <c r="BH4" s="99"/>
      <c r="BI4" s="99"/>
      <c r="BJ4" s="99"/>
      <c r="BK4" s="99"/>
      <c r="BL4" s="23"/>
      <c r="BM4" s="100"/>
      <c r="BN4" s="23"/>
      <c r="BQ4" s="4">
        <f>1.5*7</f>
        <v>10.5</v>
      </c>
    </row>
    <row r="5" spans="1:70" ht="18" x14ac:dyDescent="0.2">
      <c r="A5" s="1"/>
      <c r="D5" s="56" t="s">
        <v>28</v>
      </c>
      <c r="E5" s="56" t="s">
        <v>29</v>
      </c>
      <c r="F5" s="6"/>
      <c r="G5" s="87"/>
      <c r="H5" s="87"/>
      <c r="I5" s="87"/>
      <c r="J5" s="6"/>
      <c r="K5" s="87"/>
      <c r="L5" s="87"/>
      <c r="M5" s="87"/>
      <c r="N5" s="6"/>
      <c r="O5" s="87"/>
      <c r="P5" s="87"/>
      <c r="Q5" s="87"/>
      <c r="R5" s="87"/>
      <c r="S5" s="6"/>
      <c r="T5" s="87"/>
      <c r="U5" s="87"/>
      <c r="V5" s="87"/>
      <c r="W5" s="6"/>
      <c r="X5" s="87"/>
      <c r="Y5" s="87"/>
      <c r="Z5" s="87"/>
      <c r="AA5" s="6"/>
      <c r="AB5" s="87"/>
      <c r="AC5" s="87"/>
      <c r="AD5" s="87"/>
      <c r="AE5" s="87"/>
      <c r="AF5" s="6"/>
      <c r="AG5" s="87"/>
      <c r="AH5" s="87"/>
      <c r="AI5" s="87"/>
      <c r="AJ5" s="6"/>
      <c r="AK5" s="87"/>
      <c r="AL5" s="87"/>
      <c r="AM5" s="87"/>
      <c r="AN5" s="6"/>
      <c r="AO5" s="87"/>
      <c r="AP5" s="87"/>
      <c r="AQ5" s="87"/>
      <c r="AR5" s="87"/>
      <c r="AS5" s="6"/>
      <c r="AT5" s="87"/>
      <c r="AU5" s="87"/>
      <c r="AV5" s="87"/>
      <c r="AW5" s="6"/>
      <c r="AX5" s="87"/>
      <c r="AY5" s="87"/>
      <c r="AZ5" s="87"/>
      <c r="BA5" s="6"/>
      <c r="BB5" s="87"/>
      <c r="BC5" s="87"/>
      <c r="BD5" s="87"/>
      <c r="BE5" s="87"/>
      <c r="BG5" s="98"/>
      <c r="BH5" s="99"/>
      <c r="BI5" s="99"/>
      <c r="BJ5" s="99"/>
      <c r="BK5" s="99"/>
      <c r="BL5" s="101"/>
      <c r="BM5" s="100"/>
      <c r="BN5" s="23"/>
    </row>
    <row r="6" spans="1:70" ht="18" x14ac:dyDescent="0.2">
      <c r="C6" s="1" t="s">
        <v>45</v>
      </c>
      <c r="D6" s="139">
        <v>0.69440000000000002</v>
      </c>
      <c r="E6" s="140">
        <v>198349.8</v>
      </c>
      <c r="F6" s="59"/>
      <c r="G6" s="87"/>
      <c r="H6" s="87"/>
      <c r="I6" s="87"/>
      <c r="J6" s="59"/>
      <c r="K6" s="87"/>
      <c r="L6" s="87"/>
      <c r="M6" s="87"/>
      <c r="N6" s="59"/>
      <c r="O6" s="87"/>
      <c r="P6" s="87"/>
      <c r="Q6" s="87"/>
      <c r="R6" s="87"/>
      <c r="S6" s="59"/>
      <c r="T6" s="87"/>
      <c r="U6" s="87"/>
      <c r="V6" s="87"/>
      <c r="W6" s="59"/>
      <c r="X6" s="87"/>
      <c r="Y6" s="87"/>
      <c r="Z6" s="87"/>
      <c r="AA6" s="59"/>
      <c r="AB6" s="87"/>
      <c r="AC6" s="87"/>
      <c r="AD6" s="87"/>
      <c r="AE6" s="87"/>
      <c r="AF6" s="59"/>
      <c r="AG6" s="87"/>
      <c r="AH6" s="87"/>
      <c r="AI6" s="87"/>
      <c r="AJ6" s="59"/>
      <c r="AK6" s="87"/>
      <c r="AL6" s="87"/>
      <c r="AM6" s="87"/>
      <c r="AN6" s="59"/>
      <c r="AO6" s="87"/>
      <c r="AP6" s="87"/>
      <c r="AQ6" s="87"/>
      <c r="AR6" s="87"/>
      <c r="AS6" s="59"/>
      <c r="AT6" s="87"/>
      <c r="AU6" s="87"/>
      <c r="AV6" s="87"/>
      <c r="AW6" s="59"/>
      <c r="AX6" s="87"/>
      <c r="AY6" s="87"/>
      <c r="AZ6" s="87"/>
      <c r="BA6" s="59"/>
      <c r="BB6" s="87"/>
      <c r="BC6" s="87"/>
      <c r="BD6" s="87"/>
      <c r="BE6" s="87"/>
      <c r="BG6" s="98"/>
      <c r="BH6" s="99"/>
      <c r="BI6" s="99"/>
      <c r="BJ6" s="99"/>
      <c r="BK6" s="99"/>
      <c r="BL6" s="101"/>
      <c r="BM6" s="100"/>
      <c r="BN6" s="23"/>
    </row>
    <row r="7" spans="1:70" ht="41.25" customHeight="1" thickBot="1" x14ac:dyDescent="0.25">
      <c r="A7" s="144" t="s">
        <v>60</v>
      </c>
      <c r="B7" s="141" t="s">
        <v>47</v>
      </c>
      <c r="C7" s="1" t="s">
        <v>46</v>
      </c>
      <c r="D7" s="139">
        <v>0.30559999999999998</v>
      </c>
      <c r="E7" s="140">
        <v>87641.36</v>
      </c>
      <c r="F7" s="6"/>
      <c r="G7" s="87"/>
      <c r="H7" s="87"/>
      <c r="I7" s="87"/>
      <c r="J7" s="6"/>
      <c r="K7" s="87"/>
      <c r="L7" s="87"/>
      <c r="M7" s="87"/>
      <c r="N7" s="6"/>
      <c r="O7" s="87"/>
      <c r="P7" s="87"/>
      <c r="Q7" s="87"/>
      <c r="R7" s="87"/>
      <c r="S7" s="6"/>
      <c r="T7" s="87"/>
      <c r="U7" s="87"/>
      <c r="V7" s="87"/>
      <c r="W7" s="6"/>
      <c r="X7" s="87"/>
      <c r="Y7" s="87"/>
      <c r="Z7" s="87"/>
      <c r="AA7" s="6"/>
      <c r="AB7" s="87"/>
      <c r="AC7" s="87"/>
      <c r="AD7" s="87"/>
      <c r="AE7" s="87"/>
      <c r="AF7" s="6"/>
      <c r="AG7" s="87"/>
      <c r="AH7" s="87"/>
      <c r="AI7" s="87"/>
      <c r="AJ7" s="6"/>
      <c r="AK7" s="87"/>
      <c r="AL7" s="87"/>
      <c r="AM7" s="87"/>
      <c r="AN7" s="6"/>
      <c r="AO7" s="87"/>
      <c r="AP7" s="87"/>
      <c r="AQ7" s="87"/>
      <c r="AR7" s="87"/>
      <c r="AS7" s="6"/>
      <c r="AT7" s="87"/>
      <c r="AU7" s="87"/>
      <c r="AV7" s="87"/>
      <c r="AW7" s="6"/>
      <c r="AX7" s="87"/>
      <c r="AY7" s="87"/>
      <c r="AZ7" s="87"/>
      <c r="BA7" s="6"/>
      <c r="BB7" s="87"/>
      <c r="BC7" s="87"/>
      <c r="BD7" s="87"/>
      <c r="BE7" s="87"/>
      <c r="BG7" s="98"/>
      <c r="BH7" s="99"/>
      <c r="BI7" s="99"/>
      <c r="BJ7" s="99"/>
      <c r="BK7" s="99"/>
      <c r="BL7" s="101"/>
      <c r="BM7" s="100"/>
      <c r="BN7" s="23"/>
    </row>
    <row r="8" spans="1:70" ht="26.25" thickBot="1" x14ac:dyDescent="0.25">
      <c r="C8" s="4"/>
      <c r="D8" s="57">
        <f>SUM(D6:D7)</f>
        <v>1</v>
      </c>
      <c r="F8" s="22"/>
      <c r="G8" s="8">
        <v>1</v>
      </c>
      <c r="J8" s="22"/>
      <c r="K8" s="8">
        <v>2</v>
      </c>
      <c r="N8" s="22"/>
      <c r="O8" s="8">
        <v>3</v>
      </c>
      <c r="S8" s="22"/>
      <c r="T8" s="8">
        <v>4</v>
      </c>
      <c r="W8" s="22"/>
      <c r="X8" s="8">
        <v>5</v>
      </c>
      <c r="AA8" s="22"/>
      <c r="AB8" s="8">
        <v>6</v>
      </c>
      <c r="AF8" s="22"/>
      <c r="AG8" s="8">
        <v>7</v>
      </c>
      <c r="AJ8" s="22"/>
      <c r="AK8" s="8">
        <v>8</v>
      </c>
      <c r="AN8" s="22"/>
      <c r="AO8" s="8">
        <v>9</v>
      </c>
      <c r="AS8" s="22"/>
      <c r="AT8" s="8">
        <v>10</v>
      </c>
      <c r="AW8" s="22"/>
      <c r="AX8" s="8">
        <v>11</v>
      </c>
      <c r="BA8" s="22"/>
      <c r="BB8" s="8">
        <v>12</v>
      </c>
      <c r="BG8" s="120" t="s">
        <v>1</v>
      </c>
      <c r="BH8" s="121" t="s">
        <v>2</v>
      </c>
      <c r="BI8" s="122" t="s">
        <v>3</v>
      </c>
      <c r="BJ8" s="122" t="s">
        <v>3</v>
      </c>
      <c r="BK8" s="122" t="s">
        <v>3</v>
      </c>
      <c r="BL8" s="123" t="s">
        <v>4</v>
      </c>
      <c r="BM8" s="124"/>
      <c r="BN8" s="125"/>
    </row>
    <row r="9" spans="1:70" s="9" customFormat="1" ht="32.25" customHeight="1" x14ac:dyDescent="0.2">
      <c r="A9" s="45"/>
      <c r="B9" s="42" t="s">
        <v>40</v>
      </c>
      <c r="C9" s="38" t="s">
        <v>24</v>
      </c>
      <c r="D9" s="39" t="s">
        <v>33</v>
      </c>
      <c r="E9" s="47" t="s">
        <v>34</v>
      </c>
      <c r="F9" s="589" t="s">
        <v>41</v>
      </c>
      <c r="G9" s="590"/>
      <c r="H9" s="590"/>
      <c r="I9" s="591"/>
      <c r="J9" s="589" t="s">
        <v>50</v>
      </c>
      <c r="K9" s="590"/>
      <c r="L9" s="590"/>
      <c r="M9" s="591"/>
      <c r="N9" s="589" t="s">
        <v>6</v>
      </c>
      <c r="O9" s="590"/>
      <c r="P9" s="590"/>
      <c r="Q9" s="591"/>
      <c r="R9" s="84" t="s">
        <v>52</v>
      </c>
      <c r="S9" s="589" t="s">
        <v>7</v>
      </c>
      <c r="T9" s="590"/>
      <c r="U9" s="590"/>
      <c r="V9" s="591"/>
      <c r="W9" s="589" t="s">
        <v>8</v>
      </c>
      <c r="X9" s="590"/>
      <c r="Y9" s="590"/>
      <c r="Z9" s="591"/>
      <c r="AA9" s="589" t="s">
        <v>9</v>
      </c>
      <c r="AB9" s="590"/>
      <c r="AC9" s="590"/>
      <c r="AD9" s="591"/>
      <c r="AE9" s="84" t="s">
        <v>53</v>
      </c>
      <c r="AF9" s="589" t="s">
        <v>10</v>
      </c>
      <c r="AG9" s="590"/>
      <c r="AH9" s="590"/>
      <c r="AI9" s="591"/>
      <c r="AJ9" s="589" t="s">
        <v>11</v>
      </c>
      <c r="AK9" s="590"/>
      <c r="AL9" s="590"/>
      <c r="AM9" s="591"/>
      <c r="AN9" s="589" t="s">
        <v>12</v>
      </c>
      <c r="AO9" s="590"/>
      <c r="AP9" s="590"/>
      <c r="AQ9" s="591"/>
      <c r="AR9" s="84" t="s">
        <v>54</v>
      </c>
      <c r="AS9" s="589" t="s">
        <v>13</v>
      </c>
      <c r="AT9" s="590"/>
      <c r="AU9" s="590"/>
      <c r="AV9" s="591"/>
      <c r="AW9" s="589" t="s">
        <v>14</v>
      </c>
      <c r="AX9" s="590"/>
      <c r="AY9" s="590"/>
      <c r="AZ9" s="591"/>
      <c r="BA9" s="589" t="s">
        <v>15</v>
      </c>
      <c r="BB9" s="590"/>
      <c r="BC9" s="590"/>
      <c r="BD9" s="591"/>
      <c r="BE9" s="84" t="s">
        <v>55</v>
      </c>
      <c r="BF9" s="102" t="s">
        <v>56</v>
      </c>
      <c r="BG9" s="126" t="s">
        <v>16</v>
      </c>
      <c r="BH9" s="104" t="s">
        <v>1</v>
      </c>
      <c r="BI9" s="32" t="s">
        <v>58</v>
      </c>
      <c r="BJ9" s="32" t="s">
        <v>57</v>
      </c>
      <c r="BK9" s="32" t="s">
        <v>17</v>
      </c>
      <c r="BL9" s="10" t="s">
        <v>18</v>
      </c>
      <c r="BM9" s="32" t="s">
        <v>64</v>
      </c>
      <c r="BN9" s="127" t="s">
        <v>5</v>
      </c>
    </row>
    <row r="10" spans="1:70" s="25" customFormat="1" ht="18" customHeight="1" x14ac:dyDescent="0.2">
      <c r="A10" s="27" t="s">
        <v>61</v>
      </c>
      <c r="B10" s="43"/>
      <c r="C10" s="33"/>
      <c r="D10" s="24"/>
      <c r="E10" s="48"/>
      <c r="F10" s="52" t="s">
        <v>19</v>
      </c>
      <c r="G10" s="40" t="s">
        <v>42</v>
      </c>
      <c r="H10" s="40" t="s">
        <v>43</v>
      </c>
      <c r="I10" s="72" t="s">
        <v>20</v>
      </c>
      <c r="J10" s="52" t="s">
        <v>19</v>
      </c>
      <c r="K10" s="40" t="s">
        <v>42</v>
      </c>
      <c r="L10" s="40" t="s">
        <v>43</v>
      </c>
      <c r="M10" s="72" t="s">
        <v>20</v>
      </c>
      <c r="N10" s="52" t="s">
        <v>19</v>
      </c>
      <c r="O10" s="40" t="s">
        <v>42</v>
      </c>
      <c r="P10" s="40" t="s">
        <v>43</v>
      </c>
      <c r="Q10" s="72" t="s">
        <v>20</v>
      </c>
      <c r="R10" s="83"/>
      <c r="S10" s="52" t="s">
        <v>19</v>
      </c>
      <c r="T10" s="40" t="s">
        <v>42</v>
      </c>
      <c r="U10" s="40" t="s">
        <v>43</v>
      </c>
      <c r="V10" s="72" t="s">
        <v>20</v>
      </c>
      <c r="W10" s="52" t="s">
        <v>19</v>
      </c>
      <c r="X10" s="40" t="s">
        <v>42</v>
      </c>
      <c r="Y10" s="40" t="s">
        <v>43</v>
      </c>
      <c r="Z10" s="72" t="s">
        <v>20</v>
      </c>
      <c r="AA10" s="52" t="s">
        <v>19</v>
      </c>
      <c r="AB10" s="40" t="s">
        <v>42</v>
      </c>
      <c r="AC10" s="40" t="s">
        <v>43</v>
      </c>
      <c r="AD10" s="72" t="s">
        <v>20</v>
      </c>
      <c r="AE10" s="83"/>
      <c r="AF10" s="52" t="s">
        <v>19</v>
      </c>
      <c r="AG10" s="40" t="s">
        <v>42</v>
      </c>
      <c r="AH10" s="40" t="s">
        <v>43</v>
      </c>
      <c r="AI10" s="72" t="s">
        <v>20</v>
      </c>
      <c r="AJ10" s="52" t="s">
        <v>19</v>
      </c>
      <c r="AK10" s="40" t="s">
        <v>42</v>
      </c>
      <c r="AL10" s="40" t="s">
        <v>43</v>
      </c>
      <c r="AM10" s="72" t="s">
        <v>20</v>
      </c>
      <c r="AN10" s="52" t="s">
        <v>19</v>
      </c>
      <c r="AO10" s="40" t="s">
        <v>42</v>
      </c>
      <c r="AP10" s="40" t="s">
        <v>43</v>
      </c>
      <c r="AQ10" s="72" t="s">
        <v>20</v>
      </c>
      <c r="AR10" s="83"/>
      <c r="AS10" s="52" t="s">
        <v>19</v>
      </c>
      <c r="AT10" s="40" t="s">
        <v>42</v>
      </c>
      <c r="AU10" s="40" t="s">
        <v>43</v>
      </c>
      <c r="AV10" s="72" t="s">
        <v>20</v>
      </c>
      <c r="AW10" s="52" t="s">
        <v>19</v>
      </c>
      <c r="AX10" s="40" t="s">
        <v>42</v>
      </c>
      <c r="AY10" s="40" t="s">
        <v>43</v>
      </c>
      <c r="AZ10" s="72" t="s">
        <v>20</v>
      </c>
      <c r="BA10" s="52" t="s">
        <v>19</v>
      </c>
      <c r="BB10" s="40" t="s">
        <v>42</v>
      </c>
      <c r="BC10" s="40" t="s">
        <v>43</v>
      </c>
      <c r="BD10" s="72" t="s">
        <v>20</v>
      </c>
      <c r="BE10" s="83"/>
      <c r="BF10" s="48"/>
      <c r="BG10" s="52"/>
      <c r="BH10" s="24"/>
      <c r="BI10" s="24"/>
      <c r="BJ10" s="24"/>
      <c r="BK10" s="24"/>
      <c r="BL10" s="24"/>
      <c r="BM10" s="24"/>
      <c r="BN10" s="34"/>
    </row>
    <row r="11" spans="1:70" s="3" customFormat="1" ht="34.9" customHeight="1" x14ac:dyDescent="0.2">
      <c r="A11" s="68"/>
      <c r="B11" s="64" t="s">
        <v>26</v>
      </c>
      <c r="C11" s="65" t="s">
        <v>259</v>
      </c>
      <c r="D11" s="137" t="s">
        <v>35</v>
      </c>
      <c r="E11" s="142">
        <v>199700</v>
      </c>
      <c r="F11" s="11">
        <f>ROUND(IF($D11="Y",($E11/12)*I11,($E$2/12)*I11),2)</f>
        <v>3328.33</v>
      </c>
      <c r="G11" s="106">
        <f>ROUND(F11/$E$3,4)</f>
        <v>0.13969999999999999</v>
      </c>
      <c r="H11" s="106">
        <f>ROUND(F11/($E$6/12),4)</f>
        <v>0.2014</v>
      </c>
      <c r="I11" s="107">
        <v>0.2</v>
      </c>
      <c r="J11" s="11">
        <f>ROUND(IF($D11="Y",($E11/12)*M11,($E$2/12)*M11),2)</f>
        <v>3328.33</v>
      </c>
      <c r="K11" s="106">
        <f>ROUND(J11/$E$3,4)</f>
        <v>0.13969999999999999</v>
      </c>
      <c r="L11" s="106">
        <f>ROUND(J11/($E$6/12),4)</f>
        <v>0.2014</v>
      </c>
      <c r="M11" s="107">
        <f>I11</f>
        <v>0.2</v>
      </c>
      <c r="N11" s="11">
        <f>ROUND(IF($D11="Y",($E11/12)*Q11,($E$2/12)*Q11),2)</f>
        <v>3328.33</v>
      </c>
      <c r="O11" s="106">
        <f>ROUND(N11/$E$3,4)</f>
        <v>0.13969999999999999</v>
      </c>
      <c r="P11" s="106">
        <f>ROUND(N11/($E$6/12),4)</f>
        <v>0.2014</v>
      </c>
      <c r="Q11" s="107">
        <f>M11</f>
        <v>0.2</v>
      </c>
      <c r="R11" s="85">
        <f>ROUND((Q11+M11+I11)/3,4)</f>
        <v>0.2</v>
      </c>
      <c r="S11" s="11">
        <f>ROUND(IF($D11="Y",($E11/12)*V11,($E$2/12)*V11),2)</f>
        <v>3328.33</v>
      </c>
      <c r="T11" s="106">
        <f>ROUND(S11/$E$3,4)</f>
        <v>0.13969999999999999</v>
      </c>
      <c r="U11" s="106">
        <f>ROUND(S11/($E$6/12),4)</f>
        <v>0.2014</v>
      </c>
      <c r="V11" s="107">
        <f>Q11</f>
        <v>0.2</v>
      </c>
      <c r="W11" s="11">
        <f>ROUND(IF($D11="Y",($E11/12)*Z11,($E$2/12)*Z11),2)</f>
        <v>3328.33</v>
      </c>
      <c r="X11" s="106">
        <f>ROUND(W11/$E$3,4)</f>
        <v>0.13969999999999999</v>
      </c>
      <c r="Y11" s="106">
        <f>ROUND(W11/($E$6/12),4)</f>
        <v>0.2014</v>
      </c>
      <c r="Z11" s="107">
        <f>V11</f>
        <v>0.2</v>
      </c>
      <c r="AA11" s="11">
        <f>ROUND(IF($D11="Y",($E11/12)*AD11,($E$2/12)*AD11),2)</f>
        <v>3328.33</v>
      </c>
      <c r="AB11" s="106">
        <f>ROUND(AA11/$E$3,4)</f>
        <v>0.13969999999999999</v>
      </c>
      <c r="AC11" s="106">
        <f>ROUND(AA11/($E$6/12),4)</f>
        <v>0.2014</v>
      </c>
      <c r="AD11" s="107">
        <f>Z11</f>
        <v>0.2</v>
      </c>
      <c r="AE11" s="85">
        <f>ROUND((AD11+Z11+V11)/3,2)</f>
        <v>0.2</v>
      </c>
      <c r="AF11" s="11">
        <f>ROUND(IF($D11="Y",($E11/12)*AI11,($E$2/12)*AI11),2)</f>
        <v>3328.33</v>
      </c>
      <c r="AG11" s="106">
        <f>ROUND(AF11/$E$3,4)</f>
        <v>0.13969999999999999</v>
      </c>
      <c r="AH11" s="106">
        <f>ROUND(AF11/($E$6/12),4)</f>
        <v>0.2014</v>
      </c>
      <c r="AI11" s="107">
        <f>AD11</f>
        <v>0.2</v>
      </c>
      <c r="AJ11" s="11">
        <f>ROUND(IF($D11="Y",($E11/12)*AM11,($E$2/12)*AM11),2)</f>
        <v>3328.33</v>
      </c>
      <c r="AK11" s="106">
        <f>ROUND(AJ11/$E$3,4)</f>
        <v>0.13969999999999999</v>
      </c>
      <c r="AL11" s="106">
        <f>ROUND(AJ11/($E$6/12),4)</f>
        <v>0.2014</v>
      </c>
      <c r="AM11" s="107">
        <f>AI11</f>
        <v>0.2</v>
      </c>
      <c r="AN11" s="11">
        <f>ROUND(IF($D11="Y",($E11/12)*AQ11,($E$2/12)*AQ11),2)</f>
        <v>3328.33</v>
      </c>
      <c r="AO11" s="106">
        <f>ROUND(AN11/$E$3,4)</f>
        <v>0.13969999999999999</v>
      </c>
      <c r="AP11" s="106">
        <f>ROUND(AN11/($E$6/12),4)</f>
        <v>0.2014</v>
      </c>
      <c r="AQ11" s="107">
        <f>AM11</f>
        <v>0.2</v>
      </c>
      <c r="AR11" s="85">
        <f>ROUND((AQ11+AM11+AI11)/3,2)</f>
        <v>0.2</v>
      </c>
      <c r="AS11" s="11">
        <f>ROUND(IF($D11="Y",($E11/12)*AV11,($E$2/12)*AV11),2)</f>
        <v>3328.33</v>
      </c>
      <c r="AT11" s="106">
        <f>ROUND(AS11/$E$3,4)</f>
        <v>0.13969999999999999</v>
      </c>
      <c r="AU11" s="106">
        <f>ROUND(AS11/($E$6/12),4)</f>
        <v>0.2014</v>
      </c>
      <c r="AV11" s="107">
        <f>AQ11</f>
        <v>0.2</v>
      </c>
      <c r="AW11" s="11">
        <f>ROUND(IF($D11="Y",($E11/12)*AZ11,($E$2/12)*AZ11),2)</f>
        <v>3328.33</v>
      </c>
      <c r="AX11" s="106">
        <f>ROUND(AW11/$E$3,4)</f>
        <v>0.13969999999999999</v>
      </c>
      <c r="AY11" s="106">
        <f>ROUND(AW11/($E$6/12),4)</f>
        <v>0.2014</v>
      </c>
      <c r="AZ11" s="107">
        <f>AV11</f>
        <v>0.2</v>
      </c>
      <c r="BA11" s="11">
        <f>ROUND(IF($D11="Y",($E11/12)*BD11,($E$2/12)*BD11),2)</f>
        <v>3328.33</v>
      </c>
      <c r="BB11" s="106">
        <f>ROUND(BA11/$E$3,4)</f>
        <v>0.13969999999999999</v>
      </c>
      <c r="BC11" s="106">
        <f>ROUND(BA11/($E$6/12),4)</f>
        <v>0.2014</v>
      </c>
      <c r="BD11" s="107">
        <f>AZ11</f>
        <v>0.2</v>
      </c>
      <c r="BE11" s="85">
        <f>ROUND((BD11+AZ11+AV11)/3,2)</f>
        <v>0.2</v>
      </c>
      <c r="BF11" s="49">
        <f>BA11+AW11+AS11+AN11+AJ11+AF11+AA11+W11+S11+N11+J11+F11</f>
        <v>39939.960000000014</v>
      </c>
      <c r="BG11" s="128">
        <f>(COUNT(AS11:BD11)+COUNT(AF11:AQ11)+COUNT(S11:AD11)+COUNT(F11:Q11))/4</f>
        <v>12</v>
      </c>
      <c r="BH11" s="94">
        <v>12</v>
      </c>
      <c r="BI11" s="93">
        <f t="shared" ref="BI11:BJ13" si="0">ROUND((BB11+AX11+AT11+AO11+AK11+G11+K11+O11+T11+X11+AB11+AG11)/$BH11,4)</f>
        <v>0.13969999999999999</v>
      </c>
      <c r="BJ11" s="93">
        <f t="shared" si="0"/>
        <v>0.2014</v>
      </c>
      <c r="BK11" s="93">
        <f>ROUND((BD11+AZ11+AV11+AQ11+AM11+AI11+AD11+Z11+V11+Q11+M11+I11)/BH11,4)</f>
        <v>0.2</v>
      </c>
      <c r="BL11" s="133">
        <v>0.2</v>
      </c>
      <c r="BM11" s="134" t="s">
        <v>293</v>
      </c>
      <c r="BN11" s="129">
        <f>BL11-BK11</f>
        <v>0</v>
      </c>
    </row>
    <row r="12" spans="1:70" s="3" customFormat="1" ht="34.9" customHeight="1" x14ac:dyDescent="0.2">
      <c r="A12" s="68"/>
      <c r="B12" s="64" t="s">
        <v>287</v>
      </c>
      <c r="C12" s="65" t="s">
        <v>260</v>
      </c>
      <c r="D12" s="137" t="s">
        <v>35</v>
      </c>
      <c r="E12" s="142">
        <v>199700</v>
      </c>
      <c r="F12" s="11">
        <f>ROUND(IF($D12="Y",($E12/12)*I12,($E$2/12)*I12),2)</f>
        <v>1664.17</v>
      </c>
      <c r="G12" s="106">
        <f>ROUND(F12/$E$3,4)</f>
        <v>6.9800000000000001E-2</v>
      </c>
      <c r="H12" s="106">
        <f>ROUND(F12/($E$6/12),4)</f>
        <v>0.1007</v>
      </c>
      <c r="I12" s="107">
        <v>0.1</v>
      </c>
      <c r="J12" s="11">
        <f>ROUND(IF($D12="Y",($E12/12)*M12,($E$2/12)*M12),2)</f>
        <v>1664.17</v>
      </c>
      <c r="K12" s="106">
        <f>ROUND(J12/$E$3,4)</f>
        <v>6.9800000000000001E-2</v>
      </c>
      <c r="L12" s="106">
        <f>ROUND(J12/($E$6/12),4)</f>
        <v>0.1007</v>
      </c>
      <c r="M12" s="107">
        <f>I12</f>
        <v>0.1</v>
      </c>
      <c r="N12" s="11">
        <f>ROUND(IF($D12="Y",($E12/12)*Q12,($E$2/12)*Q12),2)</f>
        <v>1664.17</v>
      </c>
      <c r="O12" s="106">
        <f>ROUND(N12/$E$3,4)</f>
        <v>6.9800000000000001E-2</v>
      </c>
      <c r="P12" s="106">
        <f>ROUND(N12/($E$6/12),4)</f>
        <v>0.1007</v>
      </c>
      <c r="Q12" s="107">
        <f>M12</f>
        <v>0.1</v>
      </c>
      <c r="R12" s="85">
        <f t="shared" ref="R12:R13" si="1">ROUND((Q12+M12+I12)/3,4)</f>
        <v>0.1</v>
      </c>
      <c r="S12" s="11">
        <f>ROUND(IF($D12="Y",($E12/12)*V12,($E$2/12)*V12),2)</f>
        <v>1664.17</v>
      </c>
      <c r="T12" s="106">
        <f>ROUND(S12/$E$3,4)</f>
        <v>6.9800000000000001E-2</v>
      </c>
      <c r="U12" s="106">
        <f>ROUND(S12/($E$6/12),4)</f>
        <v>0.1007</v>
      </c>
      <c r="V12" s="107">
        <f>Q12</f>
        <v>0.1</v>
      </c>
      <c r="W12" s="11">
        <f>ROUND(IF($D12="Y",($E12/12)*Z12,($E$2/12)*Z12),2)</f>
        <v>1664.17</v>
      </c>
      <c r="X12" s="106">
        <f>ROUND(W12/$E$3,4)</f>
        <v>6.9800000000000001E-2</v>
      </c>
      <c r="Y12" s="106">
        <f>ROUND(W12/($E$6/12),4)</f>
        <v>0.1007</v>
      </c>
      <c r="Z12" s="107">
        <f>V12</f>
        <v>0.1</v>
      </c>
      <c r="AA12" s="11">
        <f>ROUND(IF($D12="Y",($E12/12)*AD12,($E$2/12)*AD12),2)</f>
        <v>1664.17</v>
      </c>
      <c r="AB12" s="106">
        <f>ROUND(AA12/$E$3,4)</f>
        <v>6.9800000000000001E-2</v>
      </c>
      <c r="AC12" s="106">
        <f>ROUND(AA12/($E$6/12),4)</f>
        <v>0.1007</v>
      </c>
      <c r="AD12" s="107">
        <f>Z12</f>
        <v>0.1</v>
      </c>
      <c r="AE12" s="85">
        <f>ROUND((AD12+Z12+V12)/3,2)</f>
        <v>0.1</v>
      </c>
      <c r="AF12" s="11">
        <f>ROUND(IF($D12="Y",($E12/12)*AI12,($E$2/12)*AI12),2)</f>
        <v>1664.17</v>
      </c>
      <c r="AG12" s="106">
        <f>ROUND(AF12/$E$3,4)</f>
        <v>6.9800000000000001E-2</v>
      </c>
      <c r="AH12" s="106">
        <f>ROUND(AF12/($E$6/12),4)</f>
        <v>0.1007</v>
      </c>
      <c r="AI12" s="107">
        <f>AD12</f>
        <v>0.1</v>
      </c>
      <c r="AJ12" s="11">
        <f>ROUND(IF($D12="Y",($E12/12)*AM12,($E$2/12)*AM12),2)</f>
        <v>1664.17</v>
      </c>
      <c r="AK12" s="106">
        <f>ROUND(AJ12/$E$3,4)</f>
        <v>6.9800000000000001E-2</v>
      </c>
      <c r="AL12" s="106">
        <f>ROUND(AJ12/($E$6/12),4)</f>
        <v>0.1007</v>
      </c>
      <c r="AM12" s="107">
        <f>AI12</f>
        <v>0.1</v>
      </c>
      <c r="AN12" s="11">
        <f>ROUND(IF($D12="Y",($E12/12)*AQ12,($E$2/12)*AQ12),2)</f>
        <v>1664.17</v>
      </c>
      <c r="AO12" s="106">
        <f>ROUND(AN12/$E$3,4)</f>
        <v>6.9800000000000001E-2</v>
      </c>
      <c r="AP12" s="106">
        <f>ROUND(AN12/($E$6/12),4)</f>
        <v>0.1007</v>
      </c>
      <c r="AQ12" s="107">
        <f>AM12</f>
        <v>0.1</v>
      </c>
      <c r="AR12" s="85">
        <f>ROUND((AQ12+AM12+AI12)/3,2)</f>
        <v>0.1</v>
      </c>
      <c r="AS12" s="11">
        <f>ROUND(IF($D12="Y",($E12/12)*AV12,($E$2/12)*AV12),2)</f>
        <v>1664.17</v>
      </c>
      <c r="AT12" s="106">
        <f>ROUND(AS12/$E$3,4)</f>
        <v>6.9800000000000001E-2</v>
      </c>
      <c r="AU12" s="106">
        <f>ROUND(AS12/($E$6/12),4)</f>
        <v>0.1007</v>
      </c>
      <c r="AV12" s="107">
        <f>AQ12</f>
        <v>0.1</v>
      </c>
      <c r="AW12" s="11">
        <f>ROUND(IF($D12="Y",($E12/12)*AZ12,($E$2/12)*AZ12),2)</f>
        <v>1664.17</v>
      </c>
      <c r="AX12" s="106">
        <f>ROUND(AW12/$E$3,4)</f>
        <v>6.9800000000000001E-2</v>
      </c>
      <c r="AY12" s="106">
        <f>ROUND(AW12/($E$6/12),4)</f>
        <v>0.1007</v>
      </c>
      <c r="AZ12" s="107">
        <f>AV12</f>
        <v>0.1</v>
      </c>
      <c r="BA12" s="11">
        <f>ROUND(IF($D12="Y",($E12/12)*BD12,($E$2/12)*BD12),2)</f>
        <v>1664.17</v>
      </c>
      <c r="BB12" s="106">
        <f>ROUND(BA12/$E$3,4)</f>
        <v>6.9800000000000001E-2</v>
      </c>
      <c r="BC12" s="106">
        <f>ROUND(BA12/($E$6/12),4)</f>
        <v>0.1007</v>
      </c>
      <c r="BD12" s="107">
        <f>AZ12</f>
        <v>0.1</v>
      </c>
      <c r="BE12" s="85">
        <f>ROUND((BD12+AZ12+AV12)/3,2)</f>
        <v>0.1</v>
      </c>
      <c r="BF12" s="49">
        <f>BA12+AW12+AS12+AN12+AJ12+AF12+AA12+W12+S12+N12+J12+F12</f>
        <v>19970.04</v>
      </c>
      <c r="BG12" s="128">
        <f>(COUNT(AS12:BD12)+COUNT(AF12:AQ12)+COUNT(S12:AD12)+COUNT(F12:Q12))/4</f>
        <v>12</v>
      </c>
      <c r="BH12" s="94">
        <v>12</v>
      </c>
      <c r="BI12" s="93">
        <f t="shared" si="0"/>
        <v>6.9800000000000001E-2</v>
      </c>
      <c r="BJ12" s="93">
        <f t="shared" si="0"/>
        <v>0.1007</v>
      </c>
      <c r="BK12" s="93">
        <f>ROUND((BD12+AZ12+AV12+AQ12+AM12+AI12+AD12+Z12+V12+Q12+M12+I12)/BH12,4)</f>
        <v>0.1</v>
      </c>
      <c r="BL12" s="135">
        <v>0.1</v>
      </c>
      <c r="BM12" s="134" t="s">
        <v>288</v>
      </c>
      <c r="BN12" s="129">
        <f>BL12-BK12</f>
        <v>0</v>
      </c>
    </row>
    <row r="13" spans="1:70" s="3" customFormat="1" ht="34.9" customHeight="1" x14ac:dyDescent="0.2">
      <c r="A13" s="68"/>
      <c r="B13" s="64" t="s">
        <v>27</v>
      </c>
      <c r="C13" s="65" t="s">
        <v>266</v>
      </c>
      <c r="D13" s="137" t="s">
        <v>36</v>
      </c>
      <c r="E13" s="143" t="s">
        <v>21</v>
      </c>
      <c r="F13" s="11">
        <f>ROUND(IF($D13="Y",($E13/12)*I13,($E$2/12)*I13),2)</f>
        <v>2383.2600000000002</v>
      </c>
      <c r="G13" s="106">
        <f>ROUND(F13/$E$3,4)</f>
        <v>0.1</v>
      </c>
      <c r="H13" s="106">
        <f>ROUND(F13/($E$6/12),4)</f>
        <v>0.14419999999999999</v>
      </c>
      <c r="I13" s="107">
        <v>0.1</v>
      </c>
      <c r="J13" s="11">
        <f>ROUND(IF($D13="Y",($E13/12)*M13,($E$2/12)*M13),2)</f>
        <v>1191.6300000000001</v>
      </c>
      <c r="K13" s="106">
        <f>ROUND(J13/$E$3,4)</f>
        <v>0.05</v>
      </c>
      <c r="L13" s="106">
        <f>ROUND(J13/($E$6/12),4)</f>
        <v>7.2099999999999997E-2</v>
      </c>
      <c r="M13" s="107">
        <v>0.05</v>
      </c>
      <c r="N13" s="11">
        <f>ROUND(IF($D13="Y",($E13/12)*Q13,($E$2/12)*Q13),2)</f>
        <v>1191.6300000000001</v>
      </c>
      <c r="O13" s="106">
        <f>ROUND(N13/$E$3,4)</f>
        <v>0.05</v>
      </c>
      <c r="P13" s="106">
        <f>ROUND(N13/($E$6/12),4)</f>
        <v>7.2099999999999997E-2</v>
      </c>
      <c r="Q13" s="107">
        <f>M13</f>
        <v>0.05</v>
      </c>
      <c r="R13" s="85">
        <f t="shared" si="1"/>
        <v>6.6699999999999995E-2</v>
      </c>
      <c r="S13" s="11">
        <f>ROUND(IF($D13="Y",($E13/12)*V13,($E$2/12)*V13),2)</f>
        <v>1191.6300000000001</v>
      </c>
      <c r="T13" s="106">
        <f>ROUND(S13/$E$3,4)</f>
        <v>0.05</v>
      </c>
      <c r="U13" s="106">
        <f>ROUND(S13/($E$6/12),4)</f>
        <v>7.2099999999999997E-2</v>
      </c>
      <c r="V13" s="107">
        <f>Q13</f>
        <v>0.05</v>
      </c>
      <c r="W13" s="11">
        <f>ROUND(IF($D13="Y",($E13/12)*Z13,($E$2/12)*Z13),2)</f>
        <v>1191.6300000000001</v>
      </c>
      <c r="X13" s="106">
        <f>ROUND(W13/$E$3,4)</f>
        <v>0.05</v>
      </c>
      <c r="Y13" s="106">
        <f>ROUND(W13/($E$6/12),4)</f>
        <v>7.2099999999999997E-2</v>
      </c>
      <c r="Z13" s="107">
        <f>V13</f>
        <v>0.05</v>
      </c>
      <c r="AA13" s="11">
        <f>ROUND(IF($D13="Y",($E13/12)*AD13,($E$2/12)*AD13),2)</f>
        <v>1191.6300000000001</v>
      </c>
      <c r="AB13" s="106">
        <f>ROUND(AA13/$E$3,4)</f>
        <v>0.05</v>
      </c>
      <c r="AC13" s="106">
        <f>ROUND(AA13/($E$6/12),4)</f>
        <v>7.2099999999999997E-2</v>
      </c>
      <c r="AD13" s="107">
        <f>Z13</f>
        <v>0.05</v>
      </c>
      <c r="AE13" s="85">
        <f>ROUND((AD13+Z13+V13)/3,2)</f>
        <v>0.05</v>
      </c>
      <c r="AF13" s="11">
        <f>ROUND(IF($D13="Y",($E13/12)*AI13,($E$2/12)*AI13),2)</f>
        <v>1191.6300000000001</v>
      </c>
      <c r="AG13" s="106">
        <f>ROUND(AF13/$E$3,4)</f>
        <v>0.05</v>
      </c>
      <c r="AH13" s="106">
        <f>ROUND(AF13/($E$6/12),4)</f>
        <v>7.2099999999999997E-2</v>
      </c>
      <c r="AI13" s="107">
        <f>AD13</f>
        <v>0.05</v>
      </c>
      <c r="AJ13" s="11">
        <f>ROUND(IF($D13="Y",($E13/12)*AM13,($E$2/12)*AM13),2)</f>
        <v>1191.6300000000001</v>
      </c>
      <c r="AK13" s="106">
        <f>ROUND(AJ13/$E$3,4)</f>
        <v>0.05</v>
      </c>
      <c r="AL13" s="106">
        <f>ROUND(AJ13/($E$6/12),4)</f>
        <v>7.2099999999999997E-2</v>
      </c>
      <c r="AM13" s="107">
        <f>AI13</f>
        <v>0.05</v>
      </c>
      <c r="AN13" s="11">
        <f>ROUND(IF($D13="Y",($E13/12)*AQ13,($E$2/12)*AQ13),2)</f>
        <v>1191.6300000000001</v>
      </c>
      <c r="AO13" s="106">
        <f>ROUND(AN13/$E$3,4)</f>
        <v>0.05</v>
      </c>
      <c r="AP13" s="106">
        <f>ROUND(AN13/($E$6/12),4)</f>
        <v>7.2099999999999997E-2</v>
      </c>
      <c r="AQ13" s="107">
        <f>AM13</f>
        <v>0.05</v>
      </c>
      <c r="AR13" s="85">
        <f>ROUND((AQ13+AM13+AI13)/3,2)</f>
        <v>0.05</v>
      </c>
      <c r="AS13" s="11">
        <f>ROUND(IF($D13="Y",($E13/12)*AV13,($E$2/12)*AV13),2)</f>
        <v>1191.6300000000001</v>
      </c>
      <c r="AT13" s="106">
        <f>ROUND(AS13/$E$3,4)</f>
        <v>0.05</v>
      </c>
      <c r="AU13" s="106">
        <f>ROUND(AS13/($E$6/12),4)</f>
        <v>7.2099999999999997E-2</v>
      </c>
      <c r="AV13" s="107">
        <f>AQ13</f>
        <v>0.05</v>
      </c>
      <c r="AW13" s="11">
        <f>ROUND(IF($D13="Y",($E13/12)*AZ13,($E$2/12)*AZ13),2)</f>
        <v>1191.6300000000001</v>
      </c>
      <c r="AX13" s="106">
        <f>ROUND(AW13/$E$3,4)</f>
        <v>0.05</v>
      </c>
      <c r="AY13" s="106">
        <f>ROUND(AW13/($E$6/12),4)</f>
        <v>7.2099999999999997E-2</v>
      </c>
      <c r="AZ13" s="107">
        <f>AV13</f>
        <v>0.05</v>
      </c>
      <c r="BA13" s="11">
        <f>ROUND(IF($D13="Y",($E13/12)*BD13,($E$2/12)*BD13),2)</f>
        <v>1191.6300000000001</v>
      </c>
      <c r="BB13" s="106">
        <f>ROUND(BA13/$E$3,4)</f>
        <v>0.05</v>
      </c>
      <c r="BC13" s="106">
        <f>ROUND(BA13/($E$6/12),4)</f>
        <v>7.2099999999999997E-2</v>
      </c>
      <c r="BD13" s="107">
        <f>AZ13</f>
        <v>0.05</v>
      </c>
      <c r="BE13" s="85">
        <f>ROUND((BD13+AZ13+AV13)/3,2)</f>
        <v>0.05</v>
      </c>
      <c r="BF13" s="49">
        <f>BA13+AW13+AS13+AN13+AJ13+AF13+AA13+W13+S13+N13+J13+F13</f>
        <v>15491.190000000004</v>
      </c>
      <c r="BG13" s="128">
        <f>(COUNT(AS13:BD13)+COUNT(AF13:AQ13)+COUNT(S13:AD13)+COUNT(F13:Q13))/4</f>
        <v>12</v>
      </c>
      <c r="BH13" s="94">
        <v>13</v>
      </c>
      <c r="BI13" s="93">
        <f t="shared" si="0"/>
        <v>0.05</v>
      </c>
      <c r="BJ13" s="93">
        <f t="shared" si="0"/>
        <v>7.2099999999999997E-2</v>
      </c>
      <c r="BK13" s="93">
        <f>ROUND((BD13+AZ13+AV13+AQ13+AM13+AI13+AD13+Z13+V13+Q13+M13+I13)/BH13,4)</f>
        <v>0.05</v>
      </c>
      <c r="BL13" s="133">
        <v>0.05</v>
      </c>
      <c r="BM13" s="134" t="s">
        <v>273</v>
      </c>
      <c r="BN13" s="129">
        <f>BL13-BK13</f>
        <v>0</v>
      </c>
      <c r="BR13" s="15"/>
    </row>
    <row r="14" spans="1:70" s="25" customFormat="1" ht="18" customHeight="1" x14ac:dyDescent="0.2">
      <c r="A14" s="27" t="s">
        <v>62</v>
      </c>
      <c r="B14" s="43"/>
      <c r="C14" s="33"/>
      <c r="D14" s="24"/>
      <c r="E14" s="48"/>
      <c r="F14" s="52"/>
      <c r="G14" s="40"/>
      <c r="H14" s="40"/>
      <c r="I14" s="72"/>
      <c r="J14" s="52"/>
      <c r="K14" s="40"/>
      <c r="L14" s="40"/>
      <c r="M14" s="72"/>
      <c r="N14" s="52"/>
      <c r="O14" s="40"/>
      <c r="P14" s="40"/>
      <c r="Q14" s="72"/>
      <c r="R14" s="83"/>
      <c r="S14" s="52"/>
      <c r="T14" s="40"/>
      <c r="U14" s="40"/>
      <c r="V14" s="72"/>
      <c r="W14" s="52"/>
      <c r="X14" s="40"/>
      <c r="Y14" s="40"/>
      <c r="Z14" s="72"/>
      <c r="AA14" s="52"/>
      <c r="AB14" s="40"/>
      <c r="AC14" s="40"/>
      <c r="AD14" s="72"/>
      <c r="AE14" s="83"/>
      <c r="AF14" s="52"/>
      <c r="AG14" s="40"/>
      <c r="AH14" s="40"/>
      <c r="AI14" s="72"/>
      <c r="AJ14" s="52"/>
      <c r="AK14" s="40"/>
      <c r="AL14" s="40"/>
      <c r="AM14" s="72"/>
      <c r="AN14" s="52"/>
      <c r="AO14" s="40"/>
      <c r="AP14" s="40"/>
      <c r="AQ14" s="72"/>
      <c r="AR14" s="83"/>
      <c r="AS14" s="52"/>
      <c r="AT14" s="40"/>
      <c r="AU14" s="40"/>
      <c r="AV14" s="72"/>
      <c r="AW14" s="52"/>
      <c r="AX14" s="40"/>
      <c r="AY14" s="40"/>
      <c r="AZ14" s="72"/>
      <c r="BA14" s="52"/>
      <c r="BB14" s="40"/>
      <c r="BC14" s="40"/>
      <c r="BD14" s="72"/>
      <c r="BE14" s="83"/>
      <c r="BF14" s="48"/>
      <c r="BG14" s="52"/>
      <c r="BH14" s="24"/>
      <c r="BI14" s="24"/>
      <c r="BJ14" s="24"/>
      <c r="BK14" s="24"/>
      <c r="BL14" s="24"/>
      <c r="BM14" s="24"/>
      <c r="BN14" s="34"/>
    </row>
    <row r="15" spans="1:70" s="19" customFormat="1" ht="34.9" customHeight="1" x14ac:dyDescent="0.2">
      <c r="A15" s="69"/>
      <c r="B15" s="66" t="s">
        <v>44</v>
      </c>
      <c r="C15" s="67" t="s">
        <v>268</v>
      </c>
      <c r="D15" s="35" t="s">
        <v>36</v>
      </c>
      <c r="E15" s="50" t="s">
        <v>21</v>
      </c>
      <c r="F15" s="11">
        <f>ROUND(G15*$E$3,2)</f>
        <v>2383.2600000000002</v>
      </c>
      <c r="G15" s="106">
        <f>I15</f>
        <v>0.1</v>
      </c>
      <c r="H15" s="106">
        <f>ROUND(F15/($E$6/12),4)</f>
        <v>0.14419999999999999</v>
      </c>
      <c r="I15" s="107">
        <v>0.1</v>
      </c>
      <c r="J15" s="11">
        <f>ROUND(K15*$E$3,2)</f>
        <v>2383.2600000000002</v>
      </c>
      <c r="K15" s="106">
        <f>M15</f>
        <v>0.1</v>
      </c>
      <c r="L15" s="106">
        <f>ROUND(J15/($E$6/12),4)</f>
        <v>0.14419999999999999</v>
      </c>
      <c r="M15" s="107">
        <f>I15</f>
        <v>0.1</v>
      </c>
      <c r="N15" s="11">
        <f>ROUND(O15*$E$3,2)</f>
        <v>2383.2600000000002</v>
      </c>
      <c r="O15" s="106">
        <f>Q15</f>
        <v>0.1</v>
      </c>
      <c r="P15" s="106">
        <f>ROUND(N15/($E$6/12),4)</f>
        <v>0.14419999999999999</v>
      </c>
      <c r="Q15" s="107">
        <f>M15</f>
        <v>0.1</v>
      </c>
      <c r="R15" s="85">
        <f t="shared" ref="R15:R16" si="2">ROUND((Q15+M15+I15)/3,4)</f>
        <v>0.1</v>
      </c>
      <c r="S15" s="11">
        <f>ROUND(T15*$E$3,2)</f>
        <v>2383.2600000000002</v>
      </c>
      <c r="T15" s="106">
        <f>V15</f>
        <v>0.1</v>
      </c>
      <c r="U15" s="106">
        <f>ROUND(S15/($E$6/12),4)</f>
        <v>0.14419999999999999</v>
      </c>
      <c r="V15" s="107">
        <f>Q15</f>
        <v>0.1</v>
      </c>
      <c r="W15" s="11">
        <f>ROUND(X15*$E$3,2)</f>
        <v>2383.2600000000002</v>
      </c>
      <c r="X15" s="106">
        <f>Z15</f>
        <v>0.1</v>
      </c>
      <c r="Y15" s="106">
        <f>ROUND(W15/($E$6/12),4)</f>
        <v>0.14419999999999999</v>
      </c>
      <c r="Z15" s="107">
        <f>V15</f>
        <v>0.1</v>
      </c>
      <c r="AA15" s="11">
        <f>ROUND(AB15*$E$3,2)</f>
        <v>2383.2600000000002</v>
      </c>
      <c r="AB15" s="106">
        <f>AD15</f>
        <v>0.1</v>
      </c>
      <c r="AC15" s="106">
        <f>ROUND(AA15/($E$6/12),4)</f>
        <v>0.14419999999999999</v>
      </c>
      <c r="AD15" s="107">
        <f>Z15</f>
        <v>0.1</v>
      </c>
      <c r="AE15" s="85">
        <f>ROUND((AD15+Z15+V15)/3,2)</f>
        <v>0.1</v>
      </c>
      <c r="AF15" s="11">
        <f>ROUND(AG15*$E$3,2)</f>
        <v>2383.2600000000002</v>
      </c>
      <c r="AG15" s="106">
        <f>AI15</f>
        <v>0.1</v>
      </c>
      <c r="AH15" s="106">
        <f>ROUND(AF15/($E$6/12),4)</f>
        <v>0.14419999999999999</v>
      </c>
      <c r="AI15" s="107">
        <f>AD15</f>
        <v>0.1</v>
      </c>
      <c r="AJ15" s="11">
        <f>ROUND(AK15*$E$3,2)</f>
        <v>2383.2600000000002</v>
      </c>
      <c r="AK15" s="106">
        <f>AM15</f>
        <v>0.1</v>
      </c>
      <c r="AL15" s="106">
        <f>ROUND(AJ15/($E$6/12),4)</f>
        <v>0.14419999999999999</v>
      </c>
      <c r="AM15" s="107">
        <f>AI15</f>
        <v>0.1</v>
      </c>
      <c r="AN15" s="11">
        <f>ROUND(AO15*$E$3,2)</f>
        <v>2383.2600000000002</v>
      </c>
      <c r="AO15" s="106">
        <f>AQ15</f>
        <v>0.1</v>
      </c>
      <c r="AP15" s="106">
        <f>ROUND(AN15/($E$6/12),4)</f>
        <v>0.14419999999999999</v>
      </c>
      <c r="AQ15" s="107">
        <f>AM15</f>
        <v>0.1</v>
      </c>
      <c r="AR15" s="85">
        <f>ROUND((AQ15+AM15+AI15)/3,2)</f>
        <v>0.1</v>
      </c>
      <c r="AS15" s="11">
        <f>ROUND(AT15*$E$3,2)</f>
        <v>2383.2600000000002</v>
      </c>
      <c r="AT15" s="106">
        <f>AV15</f>
        <v>0.1</v>
      </c>
      <c r="AU15" s="106">
        <f>ROUND(AS15/($E$6/12),4)</f>
        <v>0.14419999999999999</v>
      </c>
      <c r="AV15" s="107">
        <f>AQ15</f>
        <v>0.1</v>
      </c>
      <c r="AW15" s="11">
        <f>ROUND(AX15*$E$3,2)</f>
        <v>2383.2600000000002</v>
      </c>
      <c r="AX15" s="106">
        <f>AZ15</f>
        <v>0.1</v>
      </c>
      <c r="AY15" s="106">
        <f>ROUND(AW15/($E$6/12),4)</f>
        <v>0.14419999999999999</v>
      </c>
      <c r="AZ15" s="107">
        <f>AV15</f>
        <v>0.1</v>
      </c>
      <c r="BA15" s="11">
        <f>ROUND(BB15*$E$3,2)</f>
        <v>2383.2600000000002</v>
      </c>
      <c r="BB15" s="106">
        <f>BD15</f>
        <v>0.1</v>
      </c>
      <c r="BC15" s="106">
        <f>ROUND(BA15/($E$6/12),4)</f>
        <v>0.14419999999999999</v>
      </c>
      <c r="BD15" s="107">
        <f>AZ15</f>
        <v>0.1</v>
      </c>
      <c r="BE15" s="85">
        <f>ROUND((BD15+AZ15+AV15)/3,2)</f>
        <v>0.1</v>
      </c>
      <c r="BF15" s="49">
        <f>BA15+AW15+AS15+AN15+AJ15+AF15+AA15+W15+S15+N15+J15+F15</f>
        <v>28599.12000000001</v>
      </c>
      <c r="BG15" s="128">
        <f>(COUNT(AS15:BD15)+COUNT(AF15:AQ15)+COUNT(S15:AD15)+COUNT(F15:Q15))/4</f>
        <v>12</v>
      </c>
      <c r="BH15" s="16"/>
      <c r="BI15" s="17"/>
      <c r="BJ15" s="17"/>
      <c r="BK15" s="17"/>
      <c r="BL15" s="18"/>
      <c r="BM15" s="95"/>
      <c r="BN15" s="130"/>
      <c r="BQ15" s="3"/>
    </row>
    <row r="16" spans="1:70" s="3" customFormat="1" ht="34.9" customHeight="1" x14ac:dyDescent="0.2">
      <c r="A16" s="68"/>
      <c r="B16" s="64" t="s">
        <v>37</v>
      </c>
      <c r="C16" s="65" t="s">
        <v>263</v>
      </c>
      <c r="D16" s="35" t="s">
        <v>36</v>
      </c>
      <c r="E16" s="50" t="s">
        <v>21</v>
      </c>
      <c r="F16" s="11">
        <f>$E$3-(SUM(F11:F15)+SUM(F18:F21))</f>
        <v>4613.2799999999988</v>
      </c>
      <c r="G16" s="106">
        <f>ROUND(F16/$E$3,4)</f>
        <v>0.19359999999999999</v>
      </c>
      <c r="H16" s="106">
        <f>ROUND(F16/($E$6/12),4)</f>
        <v>0.27910000000000001</v>
      </c>
      <c r="I16" s="108">
        <f>G16</f>
        <v>0.19359999999999999</v>
      </c>
      <c r="J16" s="11">
        <f>$E$3-(SUM(J11:J15)+SUM(J18:J21))</f>
        <v>5804.91</v>
      </c>
      <c r="K16" s="106">
        <f>ROUND(J16/$E$3,4)</f>
        <v>0.24360000000000001</v>
      </c>
      <c r="L16" s="106">
        <f>ROUND(J16/($E$6/12),4)</f>
        <v>0.35120000000000001</v>
      </c>
      <c r="M16" s="108">
        <f>K16</f>
        <v>0.24360000000000001</v>
      </c>
      <c r="N16" s="11">
        <f>$E$3-(SUM(N11:N15)+SUM(N18:N21))</f>
        <v>5804.91</v>
      </c>
      <c r="O16" s="106">
        <f>ROUND(N16/$E$3,4)</f>
        <v>0.24360000000000001</v>
      </c>
      <c r="P16" s="106">
        <f>ROUND(N16/($E$6/12),4)</f>
        <v>0.35120000000000001</v>
      </c>
      <c r="Q16" s="108">
        <f>O16</f>
        <v>0.24360000000000001</v>
      </c>
      <c r="R16" s="85">
        <f t="shared" si="2"/>
        <v>0.22689999999999999</v>
      </c>
      <c r="S16" s="11">
        <f>$E$3-(SUM(S11:S15)+SUM(S18:S21))</f>
        <v>5804.91</v>
      </c>
      <c r="T16" s="106">
        <f>ROUND(S16/$E$3,4)</f>
        <v>0.24360000000000001</v>
      </c>
      <c r="U16" s="106">
        <f>ROUND(S16/($E$6/12),4)</f>
        <v>0.35120000000000001</v>
      </c>
      <c r="V16" s="108">
        <f>T16</f>
        <v>0.24360000000000001</v>
      </c>
      <c r="W16" s="11">
        <f>$E$3-(SUM(W11:W15)+SUM(W18:W21))</f>
        <v>5804.91</v>
      </c>
      <c r="X16" s="106">
        <f>ROUND(W16/$E$3,4)</f>
        <v>0.24360000000000001</v>
      </c>
      <c r="Y16" s="106">
        <f>ROUND(W16/($E$6/12),4)</f>
        <v>0.35120000000000001</v>
      </c>
      <c r="Z16" s="108">
        <f>X16</f>
        <v>0.24360000000000001</v>
      </c>
      <c r="AA16" s="11">
        <f>$E$3-(SUM(AA11:AA15)+SUM(AA18:AA21))</f>
        <v>5804.91</v>
      </c>
      <c r="AB16" s="106">
        <f>ROUND(AA16/$E$3,4)</f>
        <v>0.24360000000000001</v>
      </c>
      <c r="AC16" s="106">
        <f>ROUND(AA16/($E$6/12),4)</f>
        <v>0.35120000000000001</v>
      </c>
      <c r="AD16" s="108">
        <f>AB16</f>
        <v>0.24360000000000001</v>
      </c>
      <c r="AE16" s="85">
        <f>ROUND((AD16+Z16+V16)/3,2)</f>
        <v>0.24</v>
      </c>
      <c r="AF16" s="11">
        <f>$E$3-(SUM(AF11:AF15)+SUM(AF18:AF21))</f>
        <v>5804.91</v>
      </c>
      <c r="AG16" s="106">
        <f>ROUND(AF16/$E$3,4)</f>
        <v>0.24360000000000001</v>
      </c>
      <c r="AH16" s="106">
        <f>ROUND(AF16/($E$6/12),4)</f>
        <v>0.35120000000000001</v>
      </c>
      <c r="AI16" s="108">
        <f>AG16</f>
        <v>0.24360000000000001</v>
      </c>
      <c r="AJ16" s="11">
        <f>$E$3-(SUM(AJ11:AJ15)+SUM(AJ18:AJ21))</f>
        <v>5804.91</v>
      </c>
      <c r="AK16" s="106">
        <f>ROUND(AJ16/$E$3,4)</f>
        <v>0.24360000000000001</v>
      </c>
      <c r="AL16" s="106">
        <f>ROUND(AJ16/($E$6/12),4)</f>
        <v>0.35120000000000001</v>
      </c>
      <c r="AM16" s="108">
        <f>AK16</f>
        <v>0.24360000000000001</v>
      </c>
      <c r="AN16" s="11">
        <f>$E$3-(SUM(AN11:AN15)+SUM(AN18:AN21))</f>
        <v>5804.91</v>
      </c>
      <c r="AO16" s="106">
        <f>ROUND(AN16/$E$3,4)</f>
        <v>0.24360000000000001</v>
      </c>
      <c r="AP16" s="106">
        <f>ROUND(AN16/($E$6/12),4)</f>
        <v>0.35120000000000001</v>
      </c>
      <c r="AQ16" s="108">
        <f>AO16</f>
        <v>0.24360000000000001</v>
      </c>
      <c r="AR16" s="85">
        <f>ROUND((AQ16+AM16+AI16)/3,2)</f>
        <v>0.24</v>
      </c>
      <c r="AS16" s="11">
        <f>$E$3-(SUM(AS11:AS15)+SUM(AS18:AS21))</f>
        <v>5804.91</v>
      </c>
      <c r="AT16" s="106">
        <f>ROUND(AS16/$E$3,4)</f>
        <v>0.24360000000000001</v>
      </c>
      <c r="AU16" s="106">
        <f>ROUND(AS16/($E$6/12),4)</f>
        <v>0.35120000000000001</v>
      </c>
      <c r="AV16" s="108">
        <f>AT16</f>
        <v>0.24360000000000001</v>
      </c>
      <c r="AW16" s="11">
        <f>$E$3-(SUM(AW11:AW15)+SUM(AW18:AW21))</f>
        <v>5804.91</v>
      </c>
      <c r="AX16" s="106">
        <f>ROUND(AW16/$E$3,4)</f>
        <v>0.24360000000000001</v>
      </c>
      <c r="AY16" s="106">
        <f>ROUND(AW16/($E$6/12),4)</f>
        <v>0.35120000000000001</v>
      </c>
      <c r="AZ16" s="108">
        <f>AX16</f>
        <v>0.24360000000000001</v>
      </c>
      <c r="BA16" s="11">
        <f>$E$3-(SUM(BA11:BA15)+SUM(BA18:BA21))</f>
        <v>5804.91</v>
      </c>
      <c r="BB16" s="106">
        <f>ROUND(BA16/$E$3,4)</f>
        <v>0.24360000000000001</v>
      </c>
      <c r="BC16" s="106">
        <f>ROUND(BA16/($E$6/12),4)</f>
        <v>0.35120000000000001</v>
      </c>
      <c r="BD16" s="108">
        <f>BB16</f>
        <v>0.24360000000000001</v>
      </c>
      <c r="BE16" s="85">
        <f>ROUNDDOWN((BD16+AZ16+AV16)/3,2)</f>
        <v>0.24</v>
      </c>
      <c r="BF16" s="49">
        <f>BA16+AW16+AS16+AN16+AJ16+AF16+AA16+W16+S16+N16+J16+F16</f>
        <v>68467.290000000008</v>
      </c>
      <c r="BG16" s="128">
        <f>(COUNT(AS16:BD16)+COUNT(AF16:AQ16)+COUNT(S16:AD16)+COUNT(F16:Q16))/4</f>
        <v>12</v>
      </c>
      <c r="BH16" s="13"/>
      <c r="BI16" s="14"/>
      <c r="BJ16" s="14"/>
      <c r="BK16" s="14"/>
      <c r="BL16" s="14"/>
      <c r="BM16" s="96"/>
      <c r="BN16" s="129"/>
      <c r="BR16" s="15"/>
    </row>
    <row r="17" spans="1:70" s="25" customFormat="1" ht="18" customHeight="1" x14ac:dyDescent="0.2">
      <c r="A17" s="27" t="s">
        <v>63</v>
      </c>
      <c r="B17" s="43"/>
      <c r="C17" s="33"/>
      <c r="D17" s="24"/>
      <c r="E17" s="48"/>
      <c r="F17" s="58"/>
      <c r="G17" s="40"/>
      <c r="H17" s="40"/>
      <c r="I17" s="72"/>
      <c r="J17" s="58"/>
      <c r="K17" s="40"/>
      <c r="L17" s="40"/>
      <c r="M17" s="72"/>
      <c r="N17" s="58"/>
      <c r="O17" s="40"/>
      <c r="P17" s="40"/>
      <c r="Q17" s="72"/>
      <c r="R17" s="83"/>
      <c r="S17" s="58"/>
      <c r="T17" s="40"/>
      <c r="U17" s="40"/>
      <c r="V17" s="72"/>
      <c r="W17" s="58"/>
      <c r="X17" s="40"/>
      <c r="Y17" s="40"/>
      <c r="Z17" s="72"/>
      <c r="AA17" s="58"/>
      <c r="AB17" s="40"/>
      <c r="AC17" s="40"/>
      <c r="AD17" s="72"/>
      <c r="AE17" s="83"/>
      <c r="AF17" s="58"/>
      <c r="AG17" s="40"/>
      <c r="AH17" s="40"/>
      <c r="AI17" s="72"/>
      <c r="AJ17" s="58"/>
      <c r="AK17" s="40"/>
      <c r="AL17" s="40"/>
      <c r="AM17" s="72"/>
      <c r="AN17" s="58"/>
      <c r="AO17" s="40"/>
      <c r="AP17" s="40"/>
      <c r="AQ17" s="72"/>
      <c r="AR17" s="83"/>
      <c r="AS17" s="58"/>
      <c r="AT17" s="40"/>
      <c r="AU17" s="40"/>
      <c r="AV17" s="72"/>
      <c r="AW17" s="58"/>
      <c r="AX17" s="40"/>
      <c r="AY17" s="40"/>
      <c r="AZ17" s="72"/>
      <c r="BA17" s="58"/>
      <c r="BB17" s="40"/>
      <c r="BC17" s="40"/>
      <c r="BD17" s="72"/>
      <c r="BE17" s="83"/>
      <c r="BF17" s="48"/>
      <c r="BG17" s="52"/>
      <c r="BH17" s="24"/>
      <c r="BI17" s="24"/>
      <c r="BJ17" s="24"/>
      <c r="BK17" s="24"/>
      <c r="BL17" s="24"/>
      <c r="BM17" s="24"/>
      <c r="BN17" s="34"/>
    </row>
    <row r="18" spans="1:70" s="3" customFormat="1" ht="34.9" customHeight="1" x14ac:dyDescent="0.2">
      <c r="A18" s="68"/>
      <c r="B18" s="64" t="s">
        <v>39</v>
      </c>
      <c r="C18" s="70" t="s">
        <v>269</v>
      </c>
      <c r="D18" s="35" t="s">
        <v>36</v>
      </c>
      <c r="E18" s="50" t="s">
        <v>21</v>
      </c>
      <c r="F18" s="11">
        <f>ROUND((I11-G11)*($E$2/12),2)</f>
        <v>1437.11</v>
      </c>
      <c r="G18" s="106">
        <f>ROUND(F18/$E$3,4)</f>
        <v>6.0299999999999999E-2</v>
      </c>
      <c r="H18" s="106">
        <f>ROUND(F18/($E$6/12),4)</f>
        <v>8.6900000000000005E-2</v>
      </c>
      <c r="I18" s="36" t="b">
        <f>IF(G18+G11=I11,TRUE)</f>
        <v>1</v>
      </c>
      <c r="J18" s="11">
        <f>ROUND((M11-K11)*($E$2/12),2)</f>
        <v>1437.11</v>
      </c>
      <c r="K18" s="106">
        <f>ROUND(J18/$E$3,4)</f>
        <v>6.0299999999999999E-2</v>
      </c>
      <c r="L18" s="106">
        <f>ROUND(J18/($E$6/12),4)</f>
        <v>8.6900000000000005E-2</v>
      </c>
      <c r="M18" s="36" t="b">
        <f>IF(K18+K11=M11,TRUE)</f>
        <v>1</v>
      </c>
      <c r="N18" s="11">
        <f>ROUND((Q11-O11)*($E$2/12),2)</f>
        <v>1437.11</v>
      </c>
      <c r="O18" s="106">
        <f>ROUND(N18/$E$3,4)</f>
        <v>6.0299999999999999E-2</v>
      </c>
      <c r="P18" s="106">
        <f>ROUND(N18/($E$6/12),4)</f>
        <v>8.6900000000000005E-2</v>
      </c>
      <c r="Q18" s="36" t="b">
        <f>IF(O18+O11=Q11,TRUE)</f>
        <v>1</v>
      </c>
      <c r="R18" s="85" t="s">
        <v>21</v>
      </c>
      <c r="S18" s="11">
        <f>ROUND((V11-T11)*($E$2/12),2)</f>
        <v>1437.11</v>
      </c>
      <c r="T18" s="106">
        <f>ROUND(S18/$E$3,4)</f>
        <v>6.0299999999999999E-2</v>
      </c>
      <c r="U18" s="106">
        <f>ROUND(S18/($E$6/12),4)</f>
        <v>8.6900000000000005E-2</v>
      </c>
      <c r="V18" s="36" t="b">
        <f>IF(T18+T11=V11,TRUE)</f>
        <v>1</v>
      </c>
      <c r="W18" s="11">
        <f>ROUND((Z11-X11)*($E$2/12),2)</f>
        <v>1437.11</v>
      </c>
      <c r="X18" s="106">
        <f>ROUND(W18/$E$3,4)</f>
        <v>6.0299999999999999E-2</v>
      </c>
      <c r="Y18" s="106">
        <f>ROUND(W18/($E$6/12),4)</f>
        <v>8.6900000000000005E-2</v>
      </c>
      <c r="Z18" s="36" t="b">
        <f>IF(X18+X11=Z11,TRUE)</f>
        <v>1</v>
      </c>
      <c r="AA18" s="11">
        <f>ROUND((AD11-AB11)*($E$2/12),2)</f>
        <v>1437.11</v>
      </c>
      <c r="AB18" s="106">
        <f>ROUND(AA18/$E$3,4)</f>
        <v>6.0299999999999999E-2</v>
      </c>
      <c r="AC18" s="106">
        <f>ROUND(AA18/($E$6/12),4)</f>
        <v>8.6900000000000005E-2</v>
      </c>
      <c r="AD18" s="36" t="b">
        <f>IF(AB18+AB11=AD11,TRUE)</f>
        <v>1</v>
      </c>
      <c r="AE18" s="85" t="s">
        <v>21</v>
      </c>
      <c r="AF18" s="11">
        <f>ROUND((AI11-AG11)*($E$2/12),2)</f>
        <v>1437.11</v>
      </c>
      <c r="AG18" s="106">
        <f>ROUND(AF18/$E$3,4)</f>
        <v>6.0299999999999999E-2</v>
      </c>
      <c r="AH18" s="106">
        <f>ROUND(AF18/($E$6/12),4)</f>
        <v>8.6900000000000005E-2</v>
      </c>
      <c r="AI18" s="36" t="b">
        <f>IF(AG18+AG11=AI11,TRUE)</f>
        <v>1</v>
      </c>
      <c r="AJ18" s="11">
        <f>ROUND((AM11-AK11)*($E$2/12),2)</f>
        <v>1437.11</v>
      </c>
      <c r="AK18" s="106">
        <f>ROUND(AJ18/$E$3,4)</f>
        <v>6.0299999999999999E-2</v>
      </c>
      <c r="AL18" s="106">
        <f>ROUND(AJ18/($E$6/12),4)</f>
        <v>8.6900000000000005E-2</v>
      </c>
      <c r="AM18" s="36" t="b">
        <f>IF(AK18+AK11=AM11,TRUE)</f>
        <v>1</v>
      </c>
      <c r="AN18" s="11">
        <f>ROUND((AQ11-AO11)*($E$2/12),2)</f>
        <v>1437.11</v>
      </c>
      <c r="AO18" s="106">
        <f>ROUND(AN18/$E$3,4)</f>
        <v>6.0299999999999999E-2</v>
      </c>
      <c r="AP18" s="106">
        <f>ROUND(AN18/($E$6/12),4)</f>
        <v>8.6900000000000005E-2</v>
      </c>
      <c r="AQ18" s="36" t="b">
        <f>IF(AO18+AO11=AQ11,TRUE)</f>
        <v>1</v>
      </c>
      <c r="AR18" s="85" t="s">
        <v>21</v>
      </c>
      <c r="AS18" s="11">
        <f>ROUND((AV11-AT11)*($E$2/12),2)</f>
        <v>1437.11</v>
      </c>
      <c r="AT18" s="106">
        <f>ROUND(AS18/$E$3,4)</f>
        <v>6.0299999999999999E-2</v>
      </c>
      <c r="AU18" s="106">
        <f>ROUND(AS18/($E$6/12),4)</f>
        <v>8.6900000000000005E-2</v>
      </c>
      <c r="AV18" s="36" t="b">
        <f>IF(AT18+AT11=AV11,TRUE)</f>
        <v>1</v>
      </c>
      <c r="AW18" s="11">
        <f>ROUND((AZ11-AX11)*($E$2/12),2)</f>
        <v>1437.11</v>
      </c>
      <c r="AX18" s="106">
        <f>ROUND(AW18/$E$3,4)</f>
        <v>6.0299999999999999E-2</v>
      </c>
      <c r="AY18" s="106">
        <f>ROUND(AW18/($E$6/12),4)</f>
        <v>8.6900000000000005E-2</v>
      </c>
      <c r="AZ18" s="36" t="b">
        <f>IF(AX18+AX11=AZ11,TRUE)</f>
        <v>1</v>
      </c>
      <c r="BA18" s="11">
        <f>ROUND((BD11-BB11)*($E$2/12),2)</f>
        <v>1437.11</v>
      </c>
      <c r="BB18" s="106">
        <f>ROUND(BA18/$E$3,4)</f>
        <v>6.0299999999999999E-2</v>
      </c>
      <c r="BC18" s="106">
        <f>ROUND(BA18/($E$6/12),4)</f>
        <v>8.6900000000000005E-2</v>
      </c>
      <c r="BD18" s="36" t="b">
        <f>IF(BB18+BB11=BD11,TRUE)</f>
        <v>1</v>
      </c>
      <c r="BE18" s="85" t="s">
        <v>21</v>
      </c>
      <c r="BF18" s="49">
        <f>BA18+AW18+AS18+AN18+AJ18+AF18+AA18+W18+S18+N18+J18+F18</f>
        <v>17245.320000000003</v>
      </c>
      <c r="BG18" s="128">
        <f>(COUNT(AS18:BD18)+COUNT(AF18:AQ18)+COUNT(S18:AD18)+COUNT(F18:Q18))/3</f>
        <v>12</v>
      </c>
      <c r="BH18" s="145">
        <f>BH11</f>
        <v>12</v>
      </c>
      <c r="BI18" s="93">
        <f>ROUND((BB18+AX18+AT18+AO18+AK18+G18+K18+O18+T18+X18+AB18+AG18)/$BH18,4)</f>
        <v>6.0299999999999999E-2</v>
      </c>
      <c r="BJ18" s="93" t="b">
        <f>IF(BI18+BI11=BK11,TRUE)</f>
        <v>1</v>
      </c>
      <c r="BK18" s="12"/>
      <c r="BL18" s="12"/>
      <c r="BM18" s="97"/>
      <c r="BN18" s="21"/>
    </row>
    <row r="19" spans="1:70" s="3" customFormat="1" ht="34.9" customHeight="1" x14ac:dyDescent="0.2">
      <c r="A19" s="68"/>
      <c r="B19" s="64" t="s">
        <v>38</v>
      </c>
      <c r="C19" s="70" t="s">
        <v>270</v>
      </c>
      <c r="D19" s="35" t="s">
        <v>36</v>
      </c>
      <c r="E19" s="50" t="s">
        <v>21</v>
      </c>
      <c r="F19" s="11">
        <f>ROUND((I12-G12)*($E$2/12),2)</f>
        <v>719.74</v>
      </c>
      <c r="G19" s="106">
        <f>ROUND(F19/$E$3,4)</f>
        <v>3.0200000000000001E-2</v>
      </c>
      <c r="H19" s="106">
        <f>ROUND(F19/($E$6/12),4)</f>
        <v>4.3499999999999997E-2</v>
      </c>
      <c r="I19" s="36" t="b">
        <f>IF(G19+G12=I12,TRUE)</f>
        <v>1</v>
      </c>
      <c r="J19" s="11">
        <f>ROUND((M12-K12)*($E$2/12),2)</f>
        <v>719.74</v>
      </c>
      <c r="K19" s="106">
        <f>ROUND(J19/$E$3,4)</f>
        <v>3.0200000000000001E-2</v>
      </c>
      <c r="L19" s="106">
        <f>ROUND(J19/($E$6/12),4)</f>
        <v>4.3499999999999997E-2</v>
      </c>
      <c r="M19" s="36" t="b">
        <f>IF(K19+K12=M12,TRUE)</f>
        <v>1</v>
      </c>
      <c r="N19" s="11">
        <f>ROUND((Q12-O12)*($E$2/12),2)</f>
        <v>719.74</v>
      </c>
      <c r="O19" s="106">
        <f>ROUND(N19/$E$3,4)</f>
        <v>3.0200000000000001E-2</v>
      </c>
      <c r="P19" s="106">
        <f>ROUND(N19/($E$6/12),4)</f>
        <v>4.3499999999999997E-2</v>
      </c>
      <c r="Q19" s="36" t="b">
        <f>IF(O19+O12=Q12,TRUE)</f>
        <v>1</v>
      </c>
      <c r="R19" s="85" t="s">
        <v>21</v>
      </c>
      <c r="S19" s="11">
        <f>ROUND((V12-T12)*($E$2/12),2)</f>
        <v>719.74</v>
      </c>
      <c r="T19" s="106">
        <f>ROUND(S19/$E$3,4)</f>
        <v>3.0200000000000001E-2</v>
      </c>
      <c r="U19" s="106">
        <f>ROUND(S19/($E$6/12),4)</f>
        <v>4.3499999999999997E-2</v>
      </c>
      <c r="V19" s="36" t="b">
        <f>IF(T19+T12=V12,TRUE)</f>
        <v>1</v>
      </c>
      <c r="W19" s="11">
        <f>ROUND((Z12-X12)*($E$2/12),2)</f>
        <v>719.74</v>
      </c>
      <c r="X19" s="106">
        <f>ROUND(W19/$E$3,4)</f>
        <v>3.0200000000000001E-2</v>
      </c>
      <c r="Y19" s="106">
        <f>ROUND(W19/($E$6/12),4)</f>
        <v>4.3499999999999997E-2</v>
      </c>
      <c r="Z19" s="36" t="b">
        <f>IF(X19+X12=Z12,TRUE)</f>
        <v>1</v>
      </c>
      <c r="AA19" s="11">
        <f>ROUND((AD12-AB12)*($E$2/12),2)</f>
        <v>719.74</v>
      </c>
      <c r="AB19" s="106">
        <f>ROUND(AA19/$E$3,4)</f>
        <v>3.0200000000000001E-2</v>
      </c>
      <c r="AC19" s="106">
        <f>ROUND(AA19/($E$6/12),4)</f>
        <v>4.3499999999999997E-2</v>
      </c>
      <c r="AD19" s="36" t="b">
        <f>IF(AB19+AB12=AD12,TRUE)</f>
        <v>1</v>
      </c>
      <c r="AE19" s="85" t="s">
        <v>21</v>
      </c>
      <c r="AF19" s="11">
        <f>ROUND((AI12-AG12)*($E$2/12),2)</f>
        <v>719.74</v>
      </c>
      <c r="AG19" s="106">
        <f>ROUND(AF19/$E$3,4)</f>
        <v>3.0200000000000001E-2</v>
      </c>
      <c r="AH19" s="106">
        <f>ROUND(AF19/($E$6/12),4)</f>
        <v>4.3499999999999997E-2</v>
      </c>
      <c r="AI19" s="36" t="b">
        <f>IF(AG19+AG12=AI12,TRUE)</f>
        <v>1</v>
      </c>
      <c r="AJ19" s="11">
        <f>ROUND((AM12-AK12)*($E$2/12),2)</f>
        <v>719.74</v>
      </c>
      <c r="AK19" s="106">
        <f>ROUND(AJ19/$E$3,4)</f>
        <v>3.0200000000000001E-2</v>
      </c>
      <c r="AL19" s="106">
        <f>ROUND(AJ19/($E$6/12),4)</f>
        <v>4.3499999999999997E-2</v>
      </c>
      <c r="AM19" s="36" t="b">
        <f>IF(AK19+AK12=AM12,TRUE)</f>
        <v>1</v>
      </c>
      <c r="AN19" s="11">
        <f>ROUND((AQ12-AO12)*($E$2/12),2)</f>
        <v>719.74</v>
      </c>
      <c r="AO19" s="106">
        <f>ROUND(AN19/$E$3,4)</f>
        <v>3.0200000000000001E-2</v>
      </c>
      <c r="AP19" s="106">
        <f>ROUND(AN19/($E$6/12),4)</f>
        <v>4.3499999999999997E-2</v>
      </c>
      <c r="AQ19" s="36" t="b">
        <f>IF(AO19+AO12=AQ12,TRUE)</f>
        <v>1</v>
      </c>
      <c r="AR19" s="85" t="s">
        <v>21</v>
      </c>
      <c r="AS19" s="11">
        <f>ROUND((AV12-AT12)*($E$2/12),2)</f>
        <v>719.74</v>
      </c>
      <c r="AT19" s="106">
        <f>ROUND(AS19/$E$3,4)</f>
        <v>3.0200000000000001E-2</v>
      </c>
      <c r="AU19" s="106">
        <f>ROUND(AS19/($E$6/12),4)</f>
        <v>4.3499999999999997E-2</v>
      </c>
      <c r="AV19" s="36" t="b">
        <f>IF(AT19+AT12=AV12,TRUE)</f>
        <v>1</v>
      </c>
      <c r="AW19" s="11">
        <f>ROUND((AZ12-AX12)*($E$2/12),2)</f>
        <v>719.74</v>
      </c>
      <c r="AX19" s="106">
        <f>ROUND(AW19/$E$3,4)</f>
        <v>3.0200000000000001E-2</v>
      </c>
      <c r="AY19" s="106">
        <f>ROUND(AW19/($E$6/12),4)</f>
        <v>4.3499999999999997E-2</v>
      </c>
      <c r="AZ19" s="36" t="b">
        <f>IF(AX19+AX12=AZ12,TRUE)</f>
        <v>1</v>
      </c>
      <c r="BA19" s="11">
        <f>ROUND((BD12-BB12)*($E$2/12),2)</f>
        <v>719.74</v>
      </c>
      <c r="BB19" s="106">
        <f>ROUND(BA19/$E$3,4)</f>
        <v>3.0200000000000001E-2</v>
      </c>
      <c r="BC19" s="106">
        <f>ROUND(BA19/($E$6/12),4)</f>
        <v>4.3499999999999997E-2</v>
      </c>
      <c r="BD19" s="36" t="b">
        <f>IF(BB19+BB12=BD12,TRUE)</f>
        <v>1</v>
      </c>
      <c r="BE19" s="85" t="s">
        <v>21</v>
      </c>
      <c r="BF19" s="49">
        <f>BA19+AW19+AS19+AN19+AJ19+AF19+AA19+W19+S19+N19+J19+F19</f>
        <v>8636.8799999999992</v>
      </c>
      <c r="BG19" s="128">
        <f>(COUNT(AS19:BD19)+COUNT(AF19:AQ19)+COUNT(S19:AD19)+COUNT(F19:Q19))/3</f>
        <v>12</v>
      </c>
      <c r="BH19" s="145">
        <f>BH12</f>
        <v>12</v>
      </c>
      <c r="BI19" s="93">
        <f>ROUND((BB19+AX19+AT19+AO19+AK19+G19+K19+O19+T19+X19+AB19+AG19)/$BH19,4)</f>
        <v>3.0200000000000001E-2</v>
      </c>
      <c r="BJ19" s="93" t="b">
        <f>IF(BI19+BI12=BK12,TRUE)</f>
        <v>1</v>
      </c>
      <c r="BK19" s="12"/>
      <c r="BL19" s="12"/>
      <c r="BM19" s="97"/>
      <c r="BN19" s="21"/>
    </row>
    <row r="20" spans="1:70" s="25" customFormat="1" ht="18" customHeight="1" x14ac:dyDescent="0.2">
      <c r="A20" s="27" t="s">
        <v>25</v>
      </c>
      <c r="B20" s="43"/>
      <c r="C20" s="33"/>
      <c r="D20" s="24"/>
      <c r="E20" s="48"/>
      <c r="F20" s="52"/>
      <c r="G20" s="62"/>
      <c r="H20" s="62"/>
      <c r="I20" s="72"/>
      <c r="J20" s="52"/>
      <c r="K20" s="62"/>
      <c r="L20" s="62"/>
      <c r="M20" s="72"/>
      <c r="N20" s="52"/>
      <c r="O20" s="62"/>
      <c r="P20" s="62"/>
      <c r="Q20" s="72"/>
      <c r="R20" s="83"/>
      <c r="S20" s="52"/>
      <c r="T20" s="62"/>
      <c r="U20" s="62"/>
      <c r="V20" s="72"/>
      <c r="W20" s="52"/>
      <c r="X20" s="62"/>
      <c r="Y20" s="62"/>
      <c r="Z20" s="72"/>
      <c r="AA20" s="52"/>
      <c r="AB20" s="62"/>
      <c r="AC20" s="62"/>
      <c r="AD20" s="72"/>
      <c r="AE20" s="83"/>
      <c r="AF20" s="52"/>
      <c r="AG20" s="62"/>
      <c r="AH20" s="62"/>
      <c r="AI20" s="72"/>
      <c r="AJ20" s="52"/>
      <c r="AK20" s="62"/>
      <c r="AL20" s="62"/>
      <c r="AM20" s="72"/>
      <c r="AN20" s="52"/>
      <c r="AO20" s="62"/>
      <c r="AP20" s="62"/>
      <c r="AQ20" s="72"/>
      <c r="AR20" s="83"/>
      <c r="AS20" s="52"/>
      <c r="AT20" s="62"/>
      <c r="AU20" s="62"/>
      <c r="AV20" s="72"/>
      <c r="AW20" s="52"/>
      <c r="AX20" s="62"/>
      <c r="AY20" s="62"/>
      <c r="AZ20" s="72"/>
      <c r="BA20" s="52"/>
      <c r="BB20" s="62"/>
      <c r="BC20" s="62"/>
      <c r="BD20" s="72"/>
      <c r="BE20" s="83"/>
      <c r="BF20" s="48"/>
      <c r="BG20" s="52"/>
      <c r="BH20" s="24"/>
      <c r="BI20" s="24"/>
      <c r="BJ20" s="24"/>
      <c r="BK20" s="24"/>
      <c r="BL20" s="24"/>
      <c r="BM20" s="24"/>
      <c r="BN20" s="34"/>
    </row>
    <row r="21" spans="1:70" s="3" customFormat="1" ht="34.9" customHeight="1" x14ac:dyDescent="0.2">
      <c r="A21" s="71"/>
      <c r="B21" s="64"/>
      <c r="C21" s="65" t="s">
        <v>271</v>
      </c>
      <c r="D21" s="35" t="s">
        <v>36</v>
      </c>
      <c r="E21" s="50" t="s">
        <v>21</v>
      </c>
      <c r="F21" s="11">
        <f>ROUND(($E$7/12),2)</f>
        <v>7303.45</v>
      </c>
      <c r="G21" s="106">
        <f>ROUND(F21/$E$3,4)</f>
        <v>0.30640000000000001</v>
      </c>
      <c r="H21" s="106" t="s">
        <v>21</v>
      </c>
      <c r="I21" s="109">
        <f>G21</f>
        <v>0.30640000000000001</v>
      </c>
      <c r="J21" s="11">
        <f>ROUND(($E$7/12),2)</f>
        <v>7303.45</v>
      </c>
      <c r="K21" s="106">
        <f>ROUND(J21/$E$3,4)</f>
        <v>0.30640000000000001</v>
      </c>
      <c r="L21" s="106" t="s">
        <v>21</v>
      </c>
      <c r="M21" s="109">
        <f>K21</f>
        <v>0.30640000000000001</v>
      </c>
      <c r="N21" s="11">
        <f>ROUND(($E$7/12),2)</f>
        <v>7303.45</v>
      </c>
      <c r="O21" s="106">
        <f>ROUND(N21/$E$3,4)</f>
        <v>0.30640000000000001</v>
      </c>
      <c r="P21" s="106" t="s">
        <v>21</v>
      </c>
      <c r="Q21" s="109">
        <f>O21</f>
        <v>0.30640000000000001</v>
      </c>
      <c r="R21" s="85">
        <f>ROUND((Q21+M21+I21)/3,4)</f>
        <v>0.30640000000000001</v>
      </c>
      <c r="S21" s="11">
        <f>ROUND(($E$7/12),2)</f>
        <v>7303.45</v>
      </c>
      <c r="T21" s="106">
        <f>S21/$E$3</f>
        <v>0.30644789070432937</v>
      </c>
      <c r="U21" s="106" t="s">
        <v>21</v>
      </c>
      <c r="V21" s="109">
        <f>T21</f>
        <v>0.30644789070432937</v>
      </c>
      <c r="W21" s="11">
        <f>ROUND(($E$7/12),2)</f>
        <v>7303.45</v>
      </c>
      <c r="X21" s="106">
        <f>W21/$E$3</f>
        <v>0.30644789070432937</v>
      </c>
      <c r="Y21" s="106" t="s">
        <v>21</v>
      </c>
      <c r="Z21" s="109">
        <f>X21</f>
        <v>0.30644789070432937</v>
      </c>
      <c r="AA21" s="11">
        <f>ROUND(($E$7/12),2)</f>
        <v>7303.45</v>
      </c>
      <c r="AB21" s="106">
        <f>AA21/$E$3</f>
        <v>0.30644789070432937</v>
      </c>
      <c r="AC21" s="106" t="s">
        <v>21</v>
      </c>
      <c r="AD21" s="109">
        <f>AB21</f>
        <v>0.30644789070432937</v>
      </c>
      <c r="AE21" s="85">
        <f>ROUND((AD21+Z21+V21)/3,2)</f>
        <v>0.31</v>
      </c>
      <c r="AF21" s="11">
        <f>ROUND(($E$7/12),2)</f>
        <v>7303.45</v>
      </c>
      <c r="AG21" s="106">
        <f>AF21/$E$3</f>
        <v>0.30644789070432937</v>
      </c>
      <c r="AH21" s="106" t="s">
        <v>21</v>
      </c>
      <c r="AI21" s="109">
        <f>AG21</f>
        <v>0.30644789070432937</v>
      </c>
      <c r="AJ21" s="11">
        <f>ROUND(($E$7/12),2)</f>
        <v>7303.45</v>
      </c>
      <c r="AK21" s="106">
        <f>AJ21/$E$3</f>
        <v>0.30644789070432937</v>
      </c>
      <c r="AL21" s="106" t="s">
        <v>21</v>
      </c>
      <c r="AM21" s="109">
        <f>AK21</f>
        <v>0.30644789070432937</v>
      </c>
      <c r="AN21" s="11">
        <f>ROUND(($E$7/12),2)</f>
        <v>7303.45</v>
      </c>
      <c r="AO21" s="106">
        <f>AN21/$E$3</f>
        <v>0.30644789070432937</v>
      </c>
      <c r="AP21" s="106" t="s">
        <v>21</v>
      </c>
      <c r="AQ21" s="109">
        <f>AO21</f>
        <v>0.30644789070432937</v>
      </c>
      <c r="AR21" s="85">
        <f>ROUND((AQ21+AM21+AI21)/3,2)</f>
        <v>0.31</v>
      </c>
      <c r="AS21" s="11">
        <f>ROUND(($E$7/12),2)</f>
        <v>7303.45</v>
      </c>
      <c r="AT21" s="106">
        <f>AS21/$E$3</f>
        <v>0.30644789070432937</v>
      </c>
      <c r="AU21" s="106" t="s">
        <v>21</v>
      </c>
      <c r="AV21" s="109">
        <f>AT21</f>
        <v>0.30644789070432937</v>
      </c>
      <c r="AW21" s="11">
        <f>ROUND(($E$7/12),2)</f>
        <v>7303.45</v>
      </c>
      <c r="AX21" s="106">
        <f>AW21/$E$3</f>
        <v>0.30644789070432937</v>
      </c>
      <c r="AY21" s="106" t="s">
        <v>21</v>
      </c>
      <c r="AZ21" s="109">
        <f>AX21</f>
        <v>0.30644789070432937</v>
      </c>
      <c r="BA21" s="11">
        <f>ROUND(($E$7/12),2)</f>
        <v>7303.45</v>
      </c>
      <c r="BB21" s="106">
        <f>BA21/$E$3</f>
        <v>0.30644789070432937</v>
      </c>
      <c r="BC21" s="106" t="s">
        <v>21</v>
      </c>
      <c r="BD21" s="109">
        <f>BB21</f>
        <v>0.30644789070432937</v>
      </c>
      <c r="BE21" s="85">
        <f>ROUND((BD21+AZ21+AV21)/3,2)</f>
        <v>0.31</v>
      </c>
      <c r="BF21" s="49">
        <f>BA21+AW21+AS21+AN21+AJ21+AF21+AA21+W21+S21+N21+J21+F21</f>
        <v>87641.39999999998</v>
      </c>
      <c r="BG21" s="128">
        <f>(COUNT(AS21:BD21)+COUNT(AF21:AQ21)+COUNT(S21:AD21)+COUNT(F21:Q21))/3</f>
        <v>12</v>
      </c>
      <c r="BH21" s="13"/>
      <c r="BI21" s="14"/>
      <c r="BJ21" s="14"/>
      <c r="BK21" s="14"/>
      <c r="BL21" s="14"/>
      <c r="BM21" s="136" t="s">
        <v>59</v>
      </c>
      <c r="BN21" s="129"/>
      <c r="BR21" s="15"/>
    </row>
    <row r="22" spans="1:70" x14ac:dyDescent="0.2">
      <c r="A22" s="28"/>
      <c r="B22" s="44"/>
      <c r="C22" s="31" t="s">
        <v>22</v>
      </c>
      <c r="D22" s="16"/>
      <c r="E22" s="49"/>
      <c r="F22" s="11">
        <f>SUM(F11:F21)</f>
        <v>23832.600000000002</v>
      </c>
      <c r="G22" s="105">
        <f>ROUND(SUM(G11:G21),4)</f>
        <v>1</v>
      </c>
      <c r="H22" s="105">
        <f>ROUND(SUM(H11:H21),4)</f>
        <v>1</v>
      </c>
      <c r="I22" s="118">
        <f>ROUND(SUM(I11:I21),4)</f>
        <v>1</v>
      </c>
      <c r="J22" s="11">
        <f>SUM(J11:J21)</f>
        <v>23832.600000000002</v>
      </c>
      <c r="K22" s="105">
        <f>ROUND(SUM(K11:K21),4)</f>
        <v>1</v>
      </c>
      <c r="L22" s="105">
        <f>ROUND(SUM(L11:L21),4)</f>
        <v>1</v>
      </c>
      <c r="M22" s="118">
        <f>ROUND(SUM(M11:M21),4)</f>
        <v>1</v>
      </c>
      <c r="N22" s="11">
        <f>SUM(N11:N21)</f>
        <v>23832.600000000002</v>
      </c>
      <c r="O22" s="105">
        <f>ROUND(SUM(O11:O21),4)</f>
        <v>1</v>
      </c>
      <c r="P22" s="105">
        <f>ROUND(SUM(P11:P21),4)</f>
        <v>1</v>
      </c>
      <c r="Q22" s="118">
        <f>ROUND(SUM(Q11:Q21),4)</f>
        <v>1</v>
      </c>
      <c r="R22" s="88">
        <f>SUM(R11:R21)</f>
        <v>1</v>
      </c>
      <c r="S22" s="11">
        <f>SUM(S11:S21)</f>
        <v>23832.600000000002</v>
      </c>
      <c r="T22" s="105">
        <f>ROUND(SUM(T11:T21),4)</f>
        <v>1</v>
      </c>
      <c r="U22" s="105">
        <f>ROUND(SUM(U11:U21),4)</f>
        <v>1</v>
      </c>
      <c r="V22" s="118">
        <f>ROUND(SUM(V11:V21),4)</f>
        <v>1</v>
      </c>
      <c r="W22" s="11">
        <f>SUM(W11:W21)</f>
        <v>23832.600000000002</v>
      </c>
      <c r="X22" s="105">
        <f>ROUND(SUM(X11:X21),4)</f>
        <v>1</v>
      </c>
      <c r="Y22" s="105">
        <f>ROUND(SUM(Y11:Y21),4)</f>
        <v>1</v>
      </c>
      <c r="Z22" s="118">
        <f>ROUND(SUM(Z11:Z21),4)</f>
        <v>1</v>
      </c>
      <c r="AA22" s="11">
        <f>SUM(AA11:AA21)</f>
        <v>23832.600000000002</v>
      </c>
      <c r="AB22" s="105">
        <f>ROUND(SUM(AB11:AB21),4)</f>
        <v>1</v>
      </c>
      <c r="AC22" s="105">
        <f>ROUND(SUM(AC11:AC21),4)</f>
        <v>1</v>
      </c>
      <c r="AD22" s="118">
        <f>ROUND(SUM(AD11:AD21),4)</f>
        <v>1</v>
      </c>
      <c r="AE22" s="88">
        <f>SUM(AE11:AE21)</f>
        <v>1</v>
      </c>
      <c r="AF22" s="11">
        <f>SUM(AF11:AF21)</f>
        <v>23832.600000000002</v>
      </c>
      <c r="AG22" s="105">
        <f>ROUND(SUM(AG11:AG21),4)</f>
        <v>1</v>
      </c>
      <c r="AH22" s="105">
        <f>ROUND(SUM(AH11:AH21),4)</f>
        <v>1</v>
      </c>
      <c r="AI22" s="118">
        <f>ROUND(SUM(AI11:AI21),4)</f>
        <v>1</v>
      </c>
      <c r="AJ22" s="11">
        <f>SUM(AJ11:AJ21)</f>
        <v>23832.600000000002</v>
      </c>
      <c r="AK22" s="105">
        <f>ROUND(SUM(AK11:AK21),4)</f>
        <v>1</v>
      </c>
      <c r="AL22" s="105">
        <f>ROUND(SUM(AL11:AL21),4)</f>
        <v>1</v>
      </c>
      <c r="AM22" s="118">
        <f>ROUND(SUM(AM11:AM21),4)</f>
        <v>1</v>
      </c>
      <c r="AN22" s="11">
        <f>SUM(AN11:AN21)</f>
        <v>23832.600000000002</v>
      </c>
      <c r="AO22" s="105">
        <f>ROUND(SUM(AO11:AO21),4)</f>
        <v>1</v>
      </c>
      <c r="AP22" s="105">
        <f>ROUND(SUM(AP11:AP21),4)</f>
        <v>1</v>
      </c>
      <c r="AQ22" s="118">
        <f>ROUND(SUM(AQ11:AQ21),4)</f>
        <v>1</v>
      </c>
      <c r="AR22" s="88">
        <f>SUM(AR11:AR21)</f>
        <v>1</v>
      </c>
      <c r="AS22" s="11">
        <f>SUM(AS11:AS21)</f>
        <v>23832.600000000002</v>
      </c>
      <c r="AT22" s="105">
        <f>ROUND(SUM(AT11:AT21),4)</f>
        <v>1</v>
      </c>
      <c r="AU22" s="105">
        <f>ROUND(SUM(AU11:AU21),4)</f>
        <v>1</v>
      </c>
      <c r="AV22" s="118">
        <f>ROUND(SUM(AV11:AV21),4)</f>
        <v>1</v>
      </c>
      <c r="AW22" s="11">
        <f>SUM(AW11:AW21)</f>
        <v>23832.600000000002</v>
      </c>
      <c r="AX22" s="105">
        <f>ROUND(SUM(AX11:AX21),4)</f>
        <v>1</v>
      </c>
      <c r="AY22" s="105">
        <f>ROUND(SUM(AY11:AY21),4)</f>
        <v>1</v>
      </c>
      <c r="AZ22" s="118">
        <f>ROUND(SUM(AZ11:AZ21),4)</f>
        <v>1</v>
      </c>
      <c r="BA22" s="11">
        <f>SUM(BA11:BA21)</f>
        <v>23832.600000000002</v>
      </c>
      <c r="BB22" s="105">
        <f>ROUND(SUM(BB11:BB21),4)</f>
        <v>1</v>
      </c>
      <c r="BC22" s="105">
        <f>ROUND(SUM(BC11:BC21),4)</f>
        <v>1</v>
      </c>
      <c r="BD22" s="118">
        <f>ROUND(SUM(BD11:BD21),4)</f>
        <v>1</v>
      </c>
      <c r="BE22" s="88">
        <f>SUM(BE11:BE21)</f>
        <v>1</v>
      </c>
      <c r="BF22" s="117">
        <f>SUM(BF11:BF21)</f>
        <v>285991.2</v>
      </c>
      <c r="BG22" s="128"/>
      <c r="BH22" s="12"/>
      <c r="BI22" s="12"/>
      <c r="BJ22" s="12"/>
      <c r="BK22" s="12"/>
      <c r="BL22" s="12"/>
      <c r="BM22" s="97"/>
      <c r="BN22" s="21"/>
    </row>
    <row r="23" spans="1:70" x14ac:dyDescent="0.2">
      <c r="A23" s="28"/>
      <c r="B23" s="44"/>
      <c r="C23" s="31"/>
      <c r="D23" s="18"/>
      <c r="E23" s="51"/>
      <c r="F23" s="54" t="b">
        <f>IF(ROUND(F22,-1)=ROUND($E$3,-1),TRUE)</f>
        <v>1</v>
      </c>
      <c r="G23" s="18" t="b">
        <f>IF(ROUND(G22,2)=ROUND(100%,2),TRUE)</f>
        <v>1</v>
      </c>
      <c r="H23" s="18" t="b">
        <f>IF(ROUND(H22,2)=ROUND(100%,2),TRUE)</f>
        <v>1</v>
      </c>
      <c r="I23" s="37" t="b">
        <f>IF(ROUND(I22,2)=ROUND(100%,2),TRUE)</f>
        <v>1</v>
      </c>
      <c r="J23" s="54" t="b">
        <f>IF(ROUND(J22,-1)=ROUND($E$3,-1),TRUE)</f>
        <v>1</v>
      </c>
      <c r="K23" s="18" t="b">
        <f>IF(ROUND(K22,2)=ROUND(100%,2),TRUE)</f>
        <v>1</v>
      </c>
      <c r="L23" s="18" t="b">
        <f>IF(ROUND(L22,2)=ROUND(100%,2),TRUE)</f>
        <v>1</v>
      </c>
      <c r="M23" s="37" t="b">
        <f>IF(ROUND(M22,2)=ROUND(100%,2),TRUE)</f>
        <v>1</v>
      </c>
      <c r="N23" s="54" t="b">
        <f>IF(ROUND(N22,-1)=ROUND($E$3,-1),TRUE)</f>
        <v>1</v>
      </c>
      <c r="O23" s="18" t="b">
        <f>IF(ROUND(O22,2)=ROUND(100%,2),TRUE)</f>
        <v>1</v>
      </c>
      <c r="P23" s="18" t="b">
        <f>IF(ROUND(P22,2)=ROUND(100%,2),TRUE)</f>
        <v>1</v>
      </c>
      <c r="Q23" s="37" t="b">
        <f>IF(ROUND(Q22,2)=ROUND(100%,2),TRUE)</f>
        <v>1</v>
      </c>
      <c r="R23" s="89" t="b">
        <f>IF(R22=100%,TRUE)</f>
        <v>1</v>
      </c>
      <c r="S23" s="54" t="b">
        <f>IF(ROUND(S22,-1)=ROUND($E$3,-1),TRUE)</f>
        <v>1</v>
      </c>
      <c r="T23" s="18" t="b">
        <f>IF(ROUND(T22,2)=ROUND(100%,2),TRUE)</f>
        <v>1</v>
      </c>
      <c r="U23" s="18" t="b">
        <f>IF(ROUND(U22,2)=ROUND(100%,2),TRUE)</f>
        <v>1</v>
      </c>
      <c r="V23" s="37" t="b">
        <f>IF(ROUND(V22,2)=ROUND(100%,2),TRUE)</f>
        <v>1</v>
      </c>
      <c r="W23" s="54" t="b">
        <f>IF(ROUND(W22,-1)=ROUND($E$3,-1),TRUE)</f>
        <v>1</v>
      </c>
      <c r="X23" s="18" t="b">
        <f>IF(ROUND(X22,2)=ROUND(100%,2),TRUE)</f>
        <v>1</v>
      </c>
      <c r="Y23" s="18" t="b">
        <f>IF(ROUND(Y22,2)=ROUND(100%,2),TRUE)</f>
        <v>1</v>
      </c>
      <c r="Z23" s="37" t="b">
        <f>IF(ROUND(Z22,2)=ROUND(100%,2),TRUE)</f>
        <v>1</v>
      </c>
      <c r="AA23" s="54" t="b">
        <f>IF(ROUND(AA22,-1)=ROUND($E$3,-1),TRUE)</f>
        <v>1</v>
      </c>
      <c r="AB23" s="18" t="b">
        <f>IF(ROUND(AB22,2)=ROUND(100%,2),TRUE)</f>
        <v>1</v>
      </c>
      <c r="AC23" s="18" t="b">
        <f>IF(ROUND(AC22,2)=ROUND(100%,2),TRUE)</f>
        <v>1</v>
      </c>
      <c r="AD23" s="37" t="b">
        <f>IF(ROUND(AD22,2)=ROUND(100%,2),TRUE)</f>
        <v>1</v>
      </c>
      <c r="AE23" s="89" t="b">
        <f>IF(AE22=100%,TRUE)</f>
        <v>1</v>
      </c>
      <c r="AF23" s="54" t="b">
        <f>IF(ROUND(AF22,-1)=ROUND($E$3,-1),TRUE)</f>
        <v>1</v>
      </c>
      <c r="AG23" s="18" t="b">
        <f>IF(ROUND(AG22,2)=ROUND(100%,2),TRUE)</f>
        <v>1</v>
      </c>
      <c r="AH23" s="18" t="b">
        <f>IF(ROUND(AH22,2)=ROUND(100%,2),TRUE)</f>
        <v>1</v>
      </c>
      <c r="AI23" s="37" t="b">
        <f>IF(ROUND(AI22,2)=ROUND(100%,2),TRUE)</f>
        <v>1</v>
      </c>
      <c r="AJ23" s="54" t="b">
        <f>IF(ROUND(AJ22,-1)=ROUND($E$3,-1),TRUE)</f>
        <v>1</v>
      </c>
      <c r="AK23" s="18" t="b">
        <f>IF(ROUND(AK22,2)=ROUND(100%,2),TRUE)</f>
        <v>1</v>
      </c>
      <c r="AL23" s="18" t="b">
        <f>IF(ROUND(AL22,2)=ROUND(100%,2),TRUE)</f>
        <v>1</v>
      </c>
      <c r="AM23" s="37" t="b">
        <f>IF(ROUND(AM22,2)=ROUND(100%,2),TRUE)</f>
        <v>1</v>
      </c>
      <c r="AN23" s="54" t="b">
        <f>IF(ROUND(AN22,-1)=ROUND($E$3,-1),TRUE)</f>
        <v>1</v>
      </c>
      <c r="AO23" s="18" t="b">
        <f>IF(ROUND(AO22,2)=ROUND(100%,2),TRUE)</f>
        <v>1</v>
      </c>
      <c r="AP23" s="18" t="b">
        <f>IF(ROUND(AP22,2)=ROUND(100%,2),TRUE)</f>
        <v>1</v>
      </c>
      <c r="AQ23" s="37" t="b">
        <f>IF(ROUND(AQ22,2)=ROUND(100%,2),TRUE)</f>
        <v>1</v>
      </c>
      <c r="AR23" s="89" t="b">
        <f>IF(AR22=100%,TRUE)</f>
        <v>1</v>
      </c>
      <c r="AS23" s="54" t="b">
        <f>IF(ROUND(AS22,-1)=ROUND($E$3,-1),TRUE)</f>
        <v>1</v>
      </c>
      <c r="AT23" s="18" t="b">
        <f>IF(ROUND(AT22,2)=ROUND(100%,2),TRUE)</f>
        <v>1</v>
      </c>
      <c r="AU23" s="18" t="b">
        <f>IF(ROUND(AU22,2)=ROUND(100%,2),TRUE)</f>
        <v>1</v>
      </c>
      <c r="AV23" s="37" t="b">
        <f>IF(ROUND(AV22,2)=ROUND(100%,2),TRUE)</f>
        <v>1</v>
      </c>
      <c r="AW23" s="54" t="b">
        <f>IF(ROUND(AW22,-1)=ROUND($E$3,-1),TRUE)</f>
        <v>1</v>
      </c>
      <c r="AX23" s="18" t="b">
        <f>IF(ROUND(AX22,2)=ROUND(100%,2),TRUE)</f>
        <v>1</v>
      </c>
      <c r="AY23" s="18" t="b">
        <f>IF(ROUND(AY22,2)=ROUND(100%,2),TRUE)</f>
        <v>1</v>
      </c>
      <c r="AZ23" s="37" t="b">
        <f>IF(ROUND(AZ22,2)=ROUND(100%,2),TRUE)</f>
        <v>1</v>
      </c>
      <c r="BA23" s="54" t="b">
        <f>IF(ROUND(BA22,-1)=ROUND($E$3,-1),TRUE)</f>
        <v>1</v>
      </c>
      <c r="BB23" s="18" t="b">
        <f>IF(ROUND(BB22,2)=ROUND(100%,2),TRUE)</f>
        <v>1</v>
      </c>
      <c r="BC23" s="18" t="b">
        <f>IF(ROUND(BC22,2)=ROUND(100%,2),TRUE)</f>
        <v>1</v>
      </c>
      <c r="BD23" s="37" t="b">
        <f>IF(ROUND(BD22,2)=ROUND(100%,2),TRUE)</f>
        <v>1</v>
      </c>
      <c r="BE23" s="89" t="b">
        <f>IF(BE22=100%,TRUE)</f>
        <v>1</v>
      </c>
      <c r="BF23" s="119" t="b">
        <f>IF(ROUND(BF22,-1)=ROUND($E$2,-1),TRUE)</f>
        <v>1</v>
      </c>
      <c r="BG23" s="53"/>
      <c r="BH23" s="12"/>
      <c r="BI23" s="12"/>
      <c r="BJ23" s="12"/>
      <c r="BK23" s="12"/>
      <c r="BL23" s="12"/>
      <c r="BM23" s="97"/>
      <c r="BN23" s="21"/>
    </row>
    <row r="24" spans="1:70" x14ac:dyDescent="0.2">
      <c r="A24" s="29" t="s">
        <v>51</v>
      </c>
      <c r="B24" s="81"/>
      <c r="C24" s="26"/>
      <c r="D24" s="82"/>
      <c r="E24" s="82"/>
      <c r="F24" s="54"/>
      <c r="G24" s="110"/>
      <c r="H24" s="110"/>
      <c r="I24" s="111"/>
      <c r="J24" s="54"/>
      <c r="K24" s="110"/>
      <c r="L24" s="110"/>
      <c r="M24" s="111"/>
      <c r="N24" s="54"/>
      <c r="O24" s="110"/>
      <c r="P24" s="110"/>
      <c r="Q24" s="111"/>
      <c r="R24" s="90"/>
      <c r="S24" s="54"/>
      <c r="T24" s="110"/>
      <c r="U24" s="110"/>
      <c r="V24" s="111"/>
      <c r="W24" s="54"/>
      <c r="X24" s="110"/>
      <c r="Y24" s="110"/>
      <c r="Z24" s="111"/>
      <c r="AA24" s="54"/>
      <c r="AB24" s="110"/>
      <c r="AC24" s="110"/>
      <c r="AD24" s="111"/>
      <c r="AE24" s="90"/>
      <c r="AF24" s="54"/>
      <c r="AG24" s="110"/>
      <c r="AH24" s="110"/>
      <c r="AI24" s="111"/>
      <c r="AJ24" s="54"/>
      <c r="AK24" s="110"/>
      <c r="AL24" s="110"/>
      <c r="AM24" s="111"/>
      <c r="AN24" s="54"/>
      <c r="AO24" s="110"/>
      <c r="AP24" s="110"/>
      <c r="AQ24" s="111"/>
      <c r="AR24" s="90"/>
      <c r="AS24" s="54"/>
      <c r="AT24" s="110"/>
      <c r="AU24" s="110"/>
      <c r="AV24" s="111"/>
      <c r="AW24" s="54"/>
      <c r="AX24" s="110"/>
      <c r="AY24" s="110"/>
      <c r="AZ24" s="111"/>
      <c r="BA24" s="54"/>
      <c r="BB24" s="110"/>
      <c r="BC24" s="110"/>
      <c r="BD24" s="111"/>
      <c r="BE24" s="90"/>
      <c r="BF24" s="51"/>
      <c r="BG24" s="53"/>
      <c r="BH24" s="12"/>
      <c r="BI24" s="12"/>
      <c r="BJ24" s="12"/>
      <c r="BK24" s="12"/>
      <c r="BL24" s="12"/>
      <c r="BM24" s="97"/>
      <c r="BN24" s="21"/>
    </row>
    <row r="25" spans="1:70" s="3" customFormat="1" x14ac:dyDescent="0.2">
      <c r="A25" s="28"/>
      <c r="B25" s="74"/>
      <c r="C25" s="75" t="s">
        <v>48</v>
      </c>
      <c r="D25" s="76"/>
      <c r="E25" s="77"/>
      <c r="F25" s="20">
        <f>SUM(F18:F19)</f>
        <v>2156.85</v>
      </c>
      <c r="G25" s="112">
        <f>SUM(G18:G19)</f>
        <v>9.0499999999999997E-2</v>
      </c>
      <c r="H25" s="106">
        <f>ROUND(F25/($E$6/12),4)</f>
        <v>0.1305</v>
      </c>
      <c r="I25" s="113"/>
      <c r="J25" s="20">
        <f>SUM(J18:J19)</f>
        <v>2156.85</v>
      </c>
      <c r="K25" s="112">
        <f>SUM(K18:K19)</f>
        <v>9.0499999999999997E-2</v>
      </c>
      <c r="L25" s="106">
        <f>ROUND(J25/($E$6/12),4)</f>
        <v>0.1305</v>
      </c>
      <c r="M25" s="113"/>
      <c r="N25" s="20">
        <f>SUM(N18:N19)</f>
        <v>2156.85</v>
      </c>
      <c r="O25" s="112">
        <f>SUM(O18:O19)</f>
        <v>9.0499999999999997E-2</v>
      </c>
      <c r="P25" s="106">
        <f>ROUND(N25/($E$6/12),4)</f>
        <v>0.1305</v>
      </c>
      <c r="Q25" s="113"/>
      <c r="R25" s="91"/>
      <c r="S25" s="20">
        <f>SUM(S18:S19)</f>
        <v>2156.85</v>
      </c>
      <c r="T25" s="112">
        <f>SUM(T18:T19)</f>
        <v>9.0499999999999997E-2</v>
      </c>
      <c r="U25" s="106">
        <f>ROUND(S25/($E$6/12),4)</f>
        <v>0.1305</v>
      </c>
      <c r="V25" s="113"/>
      <c r="W25" s="20">
        <f>SUM(W18:W19)</f>
        <v>2156.85</v>
      </c>
      <c r="X25" s="112">
        <f>SUM(X18:X19)</f>
        <v>9.0499999999999997E-2</v>
      </c>
      <c r="Y25" s="106">
        <f>ROUND(W25/($E$6/12),4)</f>
        <v>0.1305</v>
      </c>
      <c r="Z25" s="113"/>
      <c r="AA25" s="20">
        <f>SUM(AA18:AA19)</f>
        <v>2156.85</v>
      </c>
      <c r="AB25" s="112">
        <f>SUM(AB18:AB19)</f>
        <v>9.0499999999999997E-2</v>
      </c>
      <c r="AC25" s="106">
        <f>ROUND(AA25/($E$6/12),4)</f>
        <v>0.1305</v>
      </c>
      <c r="AD25" s="113"/>
      <c r="AE25" s="91"/>
      <c r="AF25" s="20">
        <f>SUM(AF18:AF19)</f>
        <v>2156.85</v>
      </c>
      <c r="AG25" s="112">
        <f>SUM(AG18:AG19)</f>
        <v>9.0499999999999997E-2</v>
      </c>
      <c r="AH25" s="106">
        <f>ROUND(AF25/($E$6/12),4)</f>
        <v>0.1305</v>
      </c>
      <c r="AI25" s="113"/>
      <c r="AJ25" s="20">
        <f>SUM(AJ18:AJ19)</f>
        <v>2156.85</v>
      </c>
      <c r="AK25" s="112">
        <f>SUM(AK18:AK19)</f>
        <v>9.0499999999999997E-2</v>
      </c>
      <c r="AL25" s="106">
        <f>ROUND(AJ25/($E$6/12),4)</f>
        <v>0.1305</v>
      </c>
      <c r="AM25" s="113"/>
      <c r="AN25" s="20">
        <f>SUM(AN18:AN19)</f>
        <v>2156.85</v>
      </c>
      <c r="AO25" s="112">
        <f>SUM(AO18:AO19)</f>
        <v>9.0499999999999997E-2</v>
      </c>
      <c r="AP25" s="106">
        <f>ROUND(AN25/($E$6/12),4)</f>
        <v>0.1305</v>
      </c>
      <c r="AQ25" s="113"/>
      <c r="AR25" s="91"/>
      <c r="AS25" s="20">
        <f>SUM(AS18:AS19)</f>
        <v>2156.85</v>
      </c>
      <c r="AT25" s="112">
        <f>SUM(AT18:AT19)</f>
        <v>9.0499999999999997E-2</v>
      </c>
      <c r="AU25" s="106">
        <f>ROUND(AS25/($E$6/12),4)</f>
        <v>0.1305</v>
      </c>
      <c r="AV25" s="113"/>
      <c r="AW25" s="20">
        <f>SUM(AW18:AW19)</f>
        <v>2156.85</v>
      </c>
      <c r="AX25" s="112">
        <f>SUM(AX18:AX19)</f>
        <v>9.0499999999999997E-2</v>
      </c>
      <c r="AY25" s="106">
        <f>ROUND(AW25/($E$6/12),4)</f>
        <v>0.1305</v>
      </c>
      <c r="AZ25" s="113"/>
      <c r="BA25" s="20">
        <f>SUM(BA18:BA19)</f>
        <v>2156.85</v>
      </c>
      <c r="BB25" s="112">
        <f>SUM(BB18:BB19)</f>
        <v>9.0499999999999997E-2</v>
      </c>
      <c r="BC25" s="106">
        <f>ROUND(BA25/($E$6/12),4)</f>
        <v>0.1305</v>
      </c>
      <c r="BD25" s="113"/>
      <c r="BE25" s="91"/>
      <c r="BF25" s="49">
        <f>BA25+AW25+AS25+AN25+AJ25+AF25+AA25+W25+S25+N25+J25+F25</f>
        <v>25882.199999999993</v>
      </c>
      <c r="BG25" s="20"/>
      <c r="BH25" s="12"/>
      <c r="BI25" s="12"/>
      <c r="BJ25" s="12"/>
      <c r="BK25" s="12"/>
      <c r="BL25" s="12"/>
      <c r="BM25" s="97"/>
      <c r="BN25" s="21"/>
    </row>
    <row r="26" spans="1:70" ht="22.5" customHeight="1" thickBot="1" x14ac:dyDescent="0.25">
      <c r="A26" s="46"/>
      <c r="B26" s="78" t="s">
        <v>49</v>
      </c>
      <c r="C26" s="78" t="s">
        <v>23</v>
      </c>
      <c r="D26" s="79"/>
      <c r="E26" s="80"/>
      <c r="F26" s="55">
        <f>F25+F15</f>
        <v>4540.1100000000006</v>
      </c>
      <c r="G26" s="114">
        <f>G25+G16</f>
        <v>0.28410000000000002</v>
      </c>
      <c r="H26" s="115">
        <f>ROUND(F26/($E$6/12),4)</f>
        <v>0.2747</v>
      </c>
      <c r="I26" s="116"/>
      <c r="J26" s="55">
        <f>J25+J15</f>
        <v>4540.1100000000006</v>
      </c>
      <c r="K26" s="114">
        <f>K25+K16</f>
        <v>0.33410000000000001</v>
      </c>
      <c r="L26" s="115">
        <f>ROUND(J26/($E$6/12),4)</f>
        <v>0.2747</v>
      </c>
      <c r="M26" s="116"/>
      <c r="N26" s="55">
        <f>N25+N15</f>
        <v>4540.1100000000006</v>
      </c>
      <c r="O26" s="114">
        <f>O25+O16</f>
        <v>0.33410000000000001</v>
      </c>
      <c r="P26" s="115">
        <f>ROUND(N26/($E$6/12),4)</f>
        <v>0.2747</v>
      </c>
      <c r="Q26" s="116"/>
      <c r="R26" s="92"/>
      <c r="S26" s="55">
        <f>S25+S15</f>
        <v>4540.1100000000006</v>
      </c>
      <c r="T26" s="114">
        <f>T25+T16</f>
        <v>0.33410000000000001</v>
      </c>
      <c r="U26" s="115">
        <f>ROUND(S26/($E$6/12),4)</f>
        <v>0.2747</v>
      </c>
      <c r="V26" s="116"/>
      <c r="W26" s="55">
        <f>W25+W15</f>
        <v>4540.1100000000006</v>
      </c>
      <c r="X26" s="114">
        <f>X25+X16</f>
        <v>0.33410000000000001</v>
      </c>
      <c r="Y26" s="115">
        <f>ROUND(W26/($E$6/12),4)</f>
        <v>0.2747</v>
      </c>
      <c r="Z26" s="116"/>
      <c r="AA26" s="55">
        <f>AA25+AA15</f>
        <v>4540.1100000000006</v>
      </c>
      <c r="AB26" s="114">
        <f>AB25+AB16</f>
        <v>0.33410000000000001</v>
      </c>
      <c r="AC26" s="115">
        <f>ROUND(AA26/($E$6/12),4)</f>
        <v>0.2747</v>
      </c>
      <c r="AD26" s="116"/>
      <c r="AE26" s="92"/>
      <c r="AF26" s="55">
        <f>AF25+AF15</f>
        <v>4540.1100000000006</v>
      </c>
      <c r="AG26" s="114">
        <f>AG25+AG16</f>
        <v>0.33410000000000001</v>
      </c>
      <c r="AH26" s="115">
        <f>ROUND(AF26/($E$6/12),4)</f>
        <v>0.2747</v>
      </c>
      <c r="AI26" s="116"/>
      <c r="AJ26" s="55">
        <f>AJ25+AJ15</f>
        <v>4540.1100000000006</v>
      </c>
      <c r="AK26" s="114">
        <f>AK25+AK16</f>
        <v>0.33410000000000001</v>
      </c>
      <c r="AL26" s="115">
        <f>ROUND(AJ26/($E$6/12),4)</f>
        <v>0.2747</v>
      </c>
      <c r="AM26" s="116"/>
      <c r="AN26" s="55">
        <f>AN25+AN15</f>
        <v>4540.1100000000006</v>
      </c>
      <c r="AO26" s="114">
        <f>AO25+AO16</f>
        <v>0.33410000000000001</v>
      </c>
      <c r="AP26" s="115">
        <f>ROUND(AN26/($E$6/12),4)</f>
        <v>0.2747</v>
      </c>
      <c r="AQ26" s="116"/>
      <c r="AR26" s="92"/>
      <c r="AS26" s="55">
        <f>AS25+AS15</f>
        <v>4540.1100000000006</v>
      </c>
      <c r="AT26" s="114">
        <f>AT25+AT16</f>
        <v>0.33410000000000001</v>
      </c>
      <c r="AU26" s="115">
        <f>ROUND(AS26/($E$6/12),4)</f>
        <v>0.2747</v>
      </c>
      <c r="AV26" s="116"/>
      <c r="AW26" s="55">
        <f>AW25+AW15</f>
        <v>4540.1100000000006</v>
      </c>
      <c r="AX26" s="114">
        <f>AX25+AX16</f>
        <v>0.33410000000000001</v>
      </c>
      <c r="AY26" s="115">
        <f>ROUND(AW26/($E$6/12),4)</f>
        <v>0.2747</v>
      </c>
      <c r="AZ26" s="116"/>
      <c r="BA26" s="55">
        <f>BA25+BA15</f>
        <v>4540.1100000000006</v>
      </c>
      <c r="BB26" s="114">
        <f>BB25+BB16</f>
        <v>0.33410000000000001</v>
      </c>
      <c r="BC26" s="115">
        <f>ROUND(BA26/($E$6/12),4)</f>
        <v>0.2747</v>
      </c>
      <c r="BD26" s="116"/>
      <c r="BE26" s="92"/>
      <c r="BF26" s="103">
        <f>BA26+AW26+AS26+AN26+AJ26+AF26+AA26+W26+S26+N26+J26+F26</f>
        <v>54481.320000000007</v>
      </c>
      <c r="BG26" s="131"/>
      <c r="BH26" s="41"/>
      <c r="BI26" s="41"/>
      <c r="BJ26" s="41"/>
      <c r="BK26" s="41"/>
      <c r="BL26" s="41"/>
      <c r="BM26" s="132"/>
      <c r="BN26" s="73"/>
    </row>
    <row r="28" spans="1:70" x14ac:dyDescent="0.2">
      <c r="W28" s="3">
        <f>W22-S22</f>
        <v>0</v>
      </c>
    </row>
  </sheetData>
  <mergeCells count="12">
    <mergeCell ref="BA9:BD9"/>
    <mergeCell ref="F9:I9"/>
    <mergeCell ref="J9:M9"/>
    <mergeCell ref="N9:Q9"/>
    <mergeCell ref="S9:V9"/>
    <mergeCell ref="W9:Z9"/>
    <mergeCell ref="AA9:AD9"/>
    <mergeCell ref="AF9:AI9"/>
    <mergeCell ref="AJ9:AM9"/>
    <mergeCell ref="AN9:AQ9"/>
    <mergeCell ref="AS9:AV9"/>
    <mergeCell ref="AW9:AZ9"/>
  </mergeCells>
  <phoneticPr fontId="0" type="noConversion"/>
  <printOptions horizontalCentered="1" verticalCentered="1"/>
  <pageMargins left="0.25" right="0.25" top="0.25" bottom="0.25" header="0.5" footer="0.25"/>
  <pageSetup paperSize="5" scale="70" pageOrder="overThenDown" orientation="landscape" cellComments="asDisplayed" r:id="rId1"/>
  <headerFooter alignWithMargins="0">
    <oddHeader>&amp;C&amp;18FY 2011 Projected
Faculty Salary Distribution</oddHeader>
    <oddFooter>&amp;RPage &amp;P of &amp;N</oddFooter>
  </headerFooter>
  <colBreaks count="4" manualBreakCount="4">
    <brk id="18" max="28" man="1"/>
    <brk id="31" max="28" man="1"/>
    <brk id="44" max="28" man="1"/>
    <brk id="57" max="2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AT31"/>
  <sheetViews>
    <sheetView tabSelected="1" zoomScaleNormal="100" workbookViewId="0">
      <selection activeCell="A23" sqref="A23"/>
    </sheetView>
  </sheetViews>
  <sheetFormatPr defaultRowHeight="12.75" x14ac:dyDescent="0.2"/>
  <cols>
    <col min="1" max="1" width="22.28515625" style="215" customWidth="1"/>
    <col min="2" max="2" width="12.140625" style="215" customWidth="1"/>
    <col min="3" max="3" width="15" style="215" customWidth="1"/>
    <col min="4" max="4" width="8.28515625" style="215" customWidth="1"/>
    <col min="5" max="5" width="9.7109375" style="259" customWidth="1"/>
    <col min="6" max="6" width="23.28515625" style="215" customWidth="1"/>
    <col min="7" max="7" width="8.5703125" style="215" customWidth="1"/>
    <col min="8" max="8" width="9.7109375" style="259" customWidth="1"/>
    <col min="9" max="9" width="23.28515625" style="215" customWidth="1"/>
    <col min="10" max="10" width="8.140625" style="215" customWidth="1"/>
    <col min="11" max="11" width="9.7109375" style="259" customWidth="1"/>
    <col min="12" max="12" width="23.28515625" style="215" customWidth="1"/>
    <col min="13" max="13" width="8.85546875" style="215" customWidth="1"/>
    <col min="14" max="14" width="9.7109375" style="259" customWidth="1"/>
    <col min="15" max="15" width="23.28515625" style="215" customWidth="1"/>
    <col min="16" max="16" width="8" style="215" customWidth="1"/>
    <col min="17" max="17" width="9.7109375" style="259" customWidth="1"/>
    <col min="18" max="18" width="23.28515625" style="215" customWidth="1"/>
    <col min="19" max="19" width="8.28515625" style="215" customWidth="1"/>
    <col min="20" max="20" width="9.7109375" style="259" customWidth="1"/>
    <col min="21" max="21" width="23.28515625" style="215" customWidth="1"/>
    <col min="22" max="22" width="7.140625" style="215" customWidth="1"/>
    <col min="23" max="23" width="9.7109375" style="259" customWidth="1"/>
    <col min="24" max="24" width="23.28515625" style="215" customWidth="1"/>
    <col min="25" max="25" width="7.140625" style="215" customWidth="1"/>
    <col min="26" max="26" width="9.7109375" style="259" customWidth="1"/>
    <col min="27" max="27" width="23.28515625" style="215" customWidth="1"/>
    <col min="28" max="28" width="7.140625" style="215" customWidth="1"/>
    <col min="29" max="29" width="9.7109375" style="259" customWidth="1"/>
    <col min="30" max="30" width="23.28515625" style="215" customWidth="1"/>
    <col min="31" max="31" width="8.140625" style="215" customWidth="1"/>
    <col min="32" max="32" width="9.7109375" style="259" customWidth="1"/>
    <col min="33" max="33" width="23.28515625" style="215" customWidth="1"/>
    <col min="34" max="34" width="8.140625" style="215" customWidth="1"/>
    <col min="35" max="35" width="9.7109375" style="259" customWidth="1"/>
    <col min="36" max="36" width="23.28515625" style="215" customWidth="1"/>
    <col min="37" max="37" width="8.140625" style="215" customWidth="1"/>
    <col min="38" max="38" width="9.7109375" style="259" customWidth="1"/>
    <col min="39" max="39" width="23.28515625" style="215" customWidth="1"/>
    <col min="40" max="40" width="17.140625" style="215" customWidth="1"/>
    <col min="41" max="42" width="12.140625" style="259" customWidth="1"/>
    <col min="43" max="43" width="4" style="260" customWidth="1"/>
    <col min="44" max="44" width="17" style="424" customWidth="1"/>
    <col min="45" max="45" width="22.28515625" style="215" customWidth="1"/>
    <col min="46" max="46" width="11.28515625" style="221" bestFit="1" customWidth="1"/>
    <col min="47" max="16384" width="9.140625" style="222"/>
  </cols>
  <sheetData>
    <row r="1" spans="1:46" ht="18" x14ac:dyDescent="0.2">
      <c r="A1" s="214" t="s">
        <v>116</v>
      </c>
      <c r="D1" s="216"/>
      <c r="E1" s="215"/>
      <c r="F1" s="217">
        <v>40787</v>
      </c>
      <c r="G1" s="216"/>
      <c r="H1" s="215"/>
      <c r="I1" s="217">
        <f>F1+30</f>
        <v>40817</v>
      </c>
      <c r="J1" s="216"/>
      <c r="K1" s="215"/>
      <c r="L1" s="217">
        <f>I1+31</f>
        <v>40848</v>
      </c>
      <c r="M1" s="216"/>
      <c r="N1" s="215"/>
      <c r="O1" s="217">
        <f>L1+31</f>
        <v>40879</v>
      </c>
      <c r="P1" s="216"/>
      <c r="Q1" s="215"/>
      <c r="R1" s="217">
        <f>O1+31</f>
        <v>40910</v>
      </c>
      <c r="S1" s="216"/>
      <c r="T1" s="215"/>
      <c r="U1" s="217">
        <f>R1+31</f>
        <v>40941</v>
      </c>
      <c r="V1" s="216"/>
      <c r="W1" s="215"/>
      <c r="X1" s="217">
        <f>U1+31</f>
        <v>40972</v>
      </c>
      <c r="Y1" s="216"/>
      <c r="Z1" s="215"/>
      <c r="AA1" s="217">
        <f>X1+31</f>
        <v>41003</v>
      </c>
      <c r="AB1" s="216"/>
      <c r="AC1" s="215"/>
      <c r="AD1" s="217">
        <f>AA1+30</f>
        <v>41033</v>
      </c>
      <c r="AE1" s="216"/>
      <c r="AF1" s="215"/>
      <c r="AG1" s="217">
        <f>AD1+31</f>
        <v>41064</v>
      </c>
      <c r="AH1" s="216"/>
      <c r="AI1" s="215"/>
      <c r="AJ1" s="217">
        <f>AG1+30</f>
        <v>41094</v>
      </c>
      <c r="AK1" s="216"/>
      <c r="AL1" s="215"/>
      <c r="AM1" s="217">
        <f>AJ1+31</f>
        <v>41125</v>
      </c>
      <c r="AN1" s="218" t="s">
        <v>117</v>
      </c>
      <c r="AO1" s="219" t="s">
        <v>118</v>
      </c>
      <c r="AP1" s="219" t="s">
        <v>119</v>
      </c>
      <c r="AQ1" s="220" t="s">
        <v>120</v>
      </c>
      <c r="AS1" s="214" t="s">
        <v>116</v>
      </c>
    </row>
    <row r="2" spans="1:46" s="229" customFormat="1" x14ac:dyDescent="0.2">
      <c r="A2" s="223" t="s">
        <v>121</v>
      </c>
      <c r="B2" s="223" t="s">
        <v>122</v>
      </c>
      <c r="C2" s="223" t="s">
        <v>123</v>
      </c>
      <c r="D2" s="224" t="s">
        <v>18</v>
      </c>
      <c r="E2" s="225" t="s">
        <v>124</v>
      </c>
      <c r="F2" s="226" t="s">
        <v>125</v>
      </c>
      <c r="G2" s="224" t="s">
        <v>18</v>
      </c>
      <c r="H2" s="225" t="s">
        <v>124</v>
      </c>
      <c r="I2" s="226" t="s">
        <v>125</v>
      </c>
      <c r="J2" s="224" t="s">
        <v>18</v>
      </c>
      <c r="K2" s="225" t="s">
        <v>124</v>
      </c>
      <c r="L2" s="226" t="s">
        <v>125</v>
      </c>
      <c r="M2" s="224" t="s">
        <v>18</v>
      </c>
      <c r="N2" s="225" t="s">
        <v>124</v>
      </c>
      <c r="O2" s="226" t="s">
        <v>125</v>
      </c>
      <c r="P2" s="224" t="s">
        <v>18</v>
      </c>
      <c r="Q2" s="225" t="s">
        <v>124</v>
      </c>
      <c r="R2" s="226" t="s">
        <v>125</v>
      </c>
      <c r="S2" s="224" t="s">
        <v>18</v>
      </c>
      <c r="T2" s="225" t="s">
        <v>124</v>
      </c>
      <c r="U2" s="226" t="s">
        <v>125</v>
      </c>
      <c r="V2" s="224" t="s">
        <v>18</v>
      </c>
      <c r="W2" s="225" t="s">
        <v>124</v>
      </c>
      <c r="X2" s="226" t="s">
        <v>125</v>
      </c>
      <c r="Y2" s="224" t="s">
        <v>18</v>
      </c>
      <c r="Z2" s="225" t="s">
        <v>124</v>
      </c>
      <c r="AA2" s="226" t="s">
        <v>125</v>
      </c>
      <c r="AB2" s="224" t="s">
        <v>18</v>
      </c>
      <c r="AC2" s="225" t="s">
        <v>124</v>
      </c>
      <c r="AD2" s="226" t="s">
        <v>125</v>
      </c>
      <c r="AE2" s="224" t="s">
        <v>18</v>
      </c>
      <c r="AF2" s="225" t="s">
        <v>124</v>
      </c>
      <c r="AG2" s="226" t="s">
        <v>125</v>
      </c>
      <c r="AH2" s="224" t="s">
        <v>18</v>
      </c>
      <c r="AI2" s="225" t="s">
        <v>124</v>
      </c>
      <c r="AJ2" s="226" t="s">
        <v>125</v>
      </c>
      <c r="AK2" s="224" t="s">
        <v>18</v>
      </c>
      <c r="AL2" s="225" t="s">
        <v>124</v>
      </c>
      <c r="AM2" s="226" t="s">
        <v>125</v>
      </c>
      <c r="AN2" s="218"/>
      <c r="AO2" s="225"/>
      <c r="AP2" s="225"/>
      <c r="AQ2" s="227"/>
      <c r="AR2" s="425" t="s">
        <v>123</v>
      </c>
      <c r="AS2" s="223" t="s">
        <v>121</v>
      </c>
      <c r="AT2" s="228"/>
    </row>
    <row r="3" spans="1:46" x14ac:dyDescent="0.2">
      <c r="A3" s="230"/>
      <c r="B3" s="231"/>
      <c r="C3" s="231"/>
      <c r="D3" s="232"/>
      <c r="E3" s="233"/>
      <c r="F3" s="234"/>
      <c r="G3" s="232"/>
      <c r="H3" s="233"/>
      <c r="I3" s="234"/>
      <c r="J3" s="232"/>
      <c r="K3" s="233"/>
      <c r="L3" s="234"/>
      <c r="M3" s="232"/>
      <c r="N3" s="233"/>
      <c r="O3" s="234"/>
      <c r="P3" s="232"/>
      <c r="Q3" s="233"/>
      <c r="R3" s="234"/>
      <c r="S3" s="232"/>
      <c r="T3" s="233"/>
      <c r="U3" s="234"/>
      <c r="V3" s="232"/>
      <c r="W3" s="233"/>
      <c r="X3" s="234"/>
      <c r="Y3" s="232"/>
      <c r="Z3" s="233"/>
      <c r="AA3" s="234"/>
      <c r="AB3" s="232"/>
      <c r="AC3" s="233"/>
      <c r="AD3" s="234"/>
      <c r="AE3" s="232"/>
      <c r="AF3" s="233"/>
      <c r="AG3" s="234"/>
      <c r="AH3" s="232"/>
      <c r="AI3" s="233"/>
      <c r="AJ3" s="234"/>
      <c r="AK3" s="232"/>
      <c r="AL3" s="233"/>
      <c r="AM3" s="234"/>
      <c r="AN3" s="235"/>
      <c r="AO3" s="233"/>
      <c r="AP3" s="233"/>
      <c r="AQ3" s="236"/>
      <c r="AR3" s="426"/>
      <c r="AS3" s="230"/>
    </row>
    <row r="4" spans="1:46" x14ac:dyDescent="0.2">
      <c r="A4" s="237" t="s">
        <v>132</v>
      </c>
      <c r="B4" s="238">
        <f>ROUND(79763.4*1.0225,2)</f>
        <v>81558.080000000002</v>
      </c>
      <c r="C4" s="238"/>
      <c r="D4" s="239"/>
      <c r="E4" s="240"/>
      <c r="F4" s="241">
        <f>ROUND($B4/12,2)</f>
        <v>6796.51</v>
      </c>
      <c r="G4" s="239"/>
      <c r="H4" s="240"/>
      <c r="I4" s="241">
        <f>ROUND($B4/12,2)</f>
        <v>6796.51</v>
      </c>
      <c r="J4" s="239"/>
      <c r="K4" s="240"/>
      <c r="L4" s="241">
        <f>ROUND($B4/12,2)</f>
        <v>6796.51</v>
      </c>
      <c r="M4" s="239"/>
      <c r="N4" s="240"/>
      <c r="O4" s="241">
        <f>ROUND($B4/12,2)</f>
        <v>6796.51</v>
      </c>
      <c r="P4" s="239"/>
      <c r="Q4" s="240"/>
      <c r="R4" s="241">
        <f>ROUND($B4/12,2)</f>
        <v>6796.51</v>
      </c>
      <c r="S4" s="239"/>
      <c r="T4" s="240"/>
      <c r="U4" s="241">
        <f>ROUND($B4/12,2)</f>
        <v>6796.51</v>
      </c>
      <c r="V4" s="239"/>
      <c r="W4" s="240"/>
      <c r="X4" s="241">
        <f>ROUND($B4/12,2)</f>
        <v>6796.51</v>
      </c>
      <c r="Y4" s="239"/>
      <c r="Z4" s="240"/>
      <c r="AA4" s="241">
        <f>ROUND($B4/12,2)</f>
        <v>6796.51</v>
      </c>
      <c r="AB4" s="239"/>
      <c r="AC4" s="240"/>
      <c r="AD4" s="241">
        <f>ROUND($B4/12,2)</f>
        <v>6796.51</v>
      </c>
      <c r="AE4" s="239"/>
      <c r="AF4" s="240"/>
      <c r="AG4" s="241">
        <f>ROUND($B4/12,2)</f>
        <v>6796.51</v>
      </c>
      <c r="AH4" s="239"/>
      <c r="AI4" s="240"/>
      <c r="AJ4" s="241">
        <f>ROUND($B4/12,2)</f>
        <v>6796.51</v>
      </c>
      <c r="AK4" s="239"/>
      <c r="AL4" s="240"/>
      <c r="AM4" s="241">
        <f>ROUND($B4/12,2)</f>
        <v>6796.51</v>
      </c>
      <c r="AN4" s="242"/>
      <c r="AO4" s="240"/>
      <c r="AP4" s="240"/>
      <c r="AQ4" s="243"/>
      <c r="AR4" s="427"/>
      <c r="AS4" s="237" t="s">
        <v>132</v>
      </c>
    </row>
    <row r="5" spans="1:46" x14ac:dyDescent="0.2">
      <c r="A5" s="237" t="s">
        <v>126</v>
      </c>
      <c r="B5" s="244"/>
      <c r="C5" s="245" t="s">
        <v>264</v>
      </c>
      <c r="D5" s="263">
        <v>0.2</v>
      </c>
      <c r="E5" s="246">
        <f t="shared" ref="E5:E7" si="0">ROUND(D5*F$4,2)</f>
        <v>1359.3</v>
      </c>
      <c r="F5" s="247" t="s">
        <v>259</v>
      </c>
      <c r="G5" s="263">
        <f>D5</f>
        <v>0.2</v>
      </c>
      <c r="H5" s="246">
        <f t="shared" ref="H5:H7" si="1">ROUND(G5*I$4,2)</f>
        <v>1359.3</v>
      </c>
      <c r="I5" s="247" t="s">
        <v>259</v>
      </c>
      <c r="J5" s="263">
        <f t="shared" ref="J5:J8" si="2">G5</f>
        <v>0.2</v>
      </c>
      <c r="K5" s="246">
        <f t="shared" ref="K5:K7" si="3">ROUND(J5*L$4,2)</f>
        <v>1359.3</v>
      </c>
      <c r="L5" s="247" t="s">
        <v>259</v>
      </c>
      <c r="M5" s="263">
        <f t="shared" ref="M5:M8" si="4">J5</f>
        <v>0.2</v>
      </c>
      <c r="N5" s="246">
        <f t="shared" ref="N5:N7" si="5">ROUND(M5*O$4,2)</f>
        <v>1359.3</v>
      </c>
      <c r="O5" s="247" t="s">
        <v>259</v>
      </c>
      <c r="P5" s="263">
        <f t="shared" ref="P5:P8" si="6">M5</f>
        <v>0.2</v>
      </c>
      <c r="Q5" s="246">
        <f t="shared" ref="Q5:Q7" si="7">ROUND(P5*R$4,2)</f>
        <v>1359.3</v>
      </c>
      <c r="R5" s="247" t="s">
        <v>259</v>
      </c>
      <c r="S5" s="263">
        <f t="shared" ref="S5:S8" si="8">P5</f>
        <v>0.2</v>
      </c>
      <c r="T5" s="246">
        <f t="shared" ref="T5:T7" si="9">ROUND(S5*U$4,2)</f>
        <v>1359.3</v>
      </c>
      <c r="U5" s="247" t="s">
        <v>259</v>
      </c>
      <c r="V5" s="263">
        <f t="shared" ref="V5:V8" si="10">S5</f>
        <v>0.2</v>
      </c>
      <c r="W5" s="246">
        <f t="shared" ref="W5:W7" si="11">ROUND(V5*X$4,2)</f>
        <v>1359.3</v>
      </c>
      <c r="X5" s="247" t="s">
        <v>259</v>
      </c>
      <c r="Y5" s="263">
        <f t="shared" ref="Y5:Y8" si="12">V5</f>
        <v>0.2</v>
      </c>
      <c r="Z5" s="246">
        <f t="shared" ref="Z5:Z7" si="13">ROUND(Y5*AA$4,2)</f>
        <v>1359.3</v>
      </c>
      <c r="AA5" s="247" t="s">
        <v>259</v>
      </c>
      <c r="AB5" s="263">
        <f t="shared" ref="AB5:AB8" si="14">Y5</f>
        <v>0.2</v>
      </c>
      <c r="AC5" s="246">
        <f t="shared" ref="AC5:AC7" si="15">ROUND(AB5*AD$4,2)</f>
        <v>1359.3</v>
      </c>
      <c r="AD5" s="247" t="s">
        <v>259</v>
      </c>
      <c r="AE5" s="263">
        <f t="shared" ref="AE5:AE8" si="16">AB5</f>
        <v>0.2</v>
      </c>
      <c r="AF5" s="246">
        <f t="shared" ref="AF5:AF7" si="17">ROUND(AE5*AG$4,2)</f>
        <v>1359.3</v>
      </c>
      <c r="AG5" s="247" t="s">
        <v>259</v>
      </c>
      <c r="AH5" s="263">
        <f t="shared" ref="AH5:AH8" si="18">AE5</f>
        <v>0.2</v>
      </c>
      <c r="AI5" s="246">
        <f t="shared" ref="AI5:AI7" si="19">ROUND(AH5*AJ$4,2)</f>
        <v>1359.3</v>
      </c>
      <c r="AJ5" s="247" t="s">
        <v>259</v>
      </c>
      <c r="AK5" s="263">
        <f t="shared" ref="AK5:AK8" si="20">AH5</f>
        <v>0.2</v>
      </c>
      <c r="AL5" s="246">
        <f t="shared" ref="AL5:AL7" si="21">ROUND(AK5*AM$4,2)</f>
        <v>1359.3</v>
      </c>
      <c r="AM5" s="247" t="s">
        <v>259</v>
      </c>
      <c r="AN5" s="242">
        <f t="shared" ref="AN5:AN8" si="22">(AK5+AH5+AE5+AB5+Y5+V5+S5+P5+M5+J5+G5+D5)/12</f>
        <v>0.19999999999999998</v>
      </c>
      <c r="AO5" s="246">
        <f t="shared" ref="AO5:AO8" si="23">AL5+AI5+AF5+AC5+Z5+W5+T5+Q5+N5+K5+H5+E5</f>
        <v>16311.599999999997</v>
      </c>
      <c r="AP5" s="246">
        <f>'Chair R01'!AL16</f>
        <v>16311.599999999997</v>
      </c>
      <c r="AQ5" s="243">
        <f t="shared" ref="AQ5:AQ8" si="24">AP5-AO5</f>
        <v>0</v>
      </c>
      <c r="AR5" s="249" t="s">
        <v>264</v>
      </c>
      <c r="AS5" s="237" t="s">
        <v>126</v>
      </c>
    </row>
    <row r="6" spans="1:46" x14ac:dyDescent="0.2">
      <c r="A6" s="237"/>
      <c r="B6" s="244"/>
      <c r="C6" s="245" t="s">
        <v>291</v>
      </c>
      <c r="D6" s="263">
        <v>0.2</v>
      </c>
      <c r="E6" s="246">
        <f t="shared" si="0"/>
        <v>1359.3</v>
      </c>
      <c r="F6" s="247" t="s">
        <v>260</v>
      </c>
      <c r="G6" s="263">
        <f t="shared" ref="G6:G8" si="25">D6</f>
        <v>0.2</v>
      </c>
      <c r="H6" s="246">
        <f t="shared" si="1"/>
        <v>1359.3</v>
      </c>
      <c r="I6" s="247" t="s">
        <v>260</v>
      </c>
      <c r="J6" s="263">
        <f t="shared" si="2"/>
        <v>0.2</v>
      </c>
      <c r="K6" s="246">
        <f t="shared" si="3"/>
        <v>1359.3</v>
      </c>
      <c r="L6" s="247" t="s">
        <v>260</v>
      </c>
      <c r="M6" s="263">
        <f t="shared" si="4"/>
        <v>0.2</v>
      </c>
      <c r="N6" s="246">
        <f t="shared" si="5"/>
        <v>1359.3</v>
      </c>
      <c r="O6" s="247" t="s">
        <v>260</v>
      </c>
      <c r="P6" s="263">
        <f t="shared" si="6"/>
        <v>0.2</v>
      </c>
      <c r="Q6" s="246">
        <f t="shared" si="7"/>
        <v>1359.3</v>
      </c>
      <c r="R6" s="247" t="s">
        <v>260</v>
      </c>
      <c r="S6" s="263">
        <f t="shared" si="8"/>
        <v>0.2</v>
      </c>
      <c r="T6" s="246">
        <f t="shared" si="9"/>
        <v>1359.3</v>
      </c>
      <c r="U6" s="247" t="s">
        <v>260</v>
      </c>
      <c r="V6" s="263">
        <f t="shared" si="10"/>
        <v>0.2</v>
      </c>
      <c r="W6" s="246">
        <f t="shared" si="11"/>
        <v>1359.3</v>
      </c>
      <c r="X6" s="247" t="s">
        <v>260</v>
      </c>
      <c r="Y6" s="263">
        <f t="shared" si="12"/>
        <v>0.2</v>
      </c>
      <c r="Z6" s="246">
        <f t="shared" si="13"/>
        <v>1359.3</v>
      </c>
      <c r="AA6" s="247" t="s">
        <v>260</v>
      </c>
      <c r="AB6" s="263">
        <f t="shared" si="14"/>
        <v>0.2</v>
      </c>
      <c r="AC6" s="246">
        <f t="shared" si="15"/>
        <v>1359.3</v>
      </c>
      <c r="AD6" s="247" t="s">
        <v>260</v>
      </c>
      <c r="AE6" s="263">
        <f t="shared" si="16"/>
        <v>0.2</v>
      </c>
      <c r="AF6" s="246">
        <f t="shared" si="17"/>
        <v>1359.3</v>
      </c>
      <c r="AG6" s="247" t="s">
        <v>260</v>
      </c>
      <c r="AH6" s="263">
        <f t="shared" si="18"/>
        <v>0.2</v>
      </c>
      <c r="AI6" s="246">
        <f t="shared" si="19"/>
        <v>1359.3</v>
      </c>
      <c r="AJ6" s="247" t="s">
        <v>260</v>
      </c>
      <c r="AK6" s="263">
        <f t="shared" si="20"/>
        <v>0.2</v>
      </c>
      <c r="AL6" s="246">
        <f t="shared" si="21"/>
        <v>1359.3</v>
      </c>
      <c r="AM6" s="247" t="s">
        <v>260</v>
      </c>
      <c r="AN6" s="242">
        <f t="shared" si="22"/>
        <v>0.19999999999999998</v>
      </c>
      <c r="AO6" s="246">
        <f t="shared" si="23"/>
        <v>16311.599999999997</v>
      </c>
      <c r="AP6" s="246">
        <f>'Chair R03'!AL13</f>
        <v>16311.599999999997</v>
      </c>
      <c r="AQ6" s="243">
        <f t="shared" si="24"/>
        <v>0</v>
      </c>
      <c r="AR6" s="249" t="s">
        <v>291</v>
      </c>
      <c r="AS6" s="237"/>
    </row>
    <row r="7" spans="1:46" x14ac:dyDescent="0.2">
      <c r="A7" s="237"/>
      <c r="B7" s="244"/>
      <c r="C7" s="245" t="s">
        <v>267</v>
      </c>
      <c r="D7" s="263">
        <v>0.3</v>
      </c>
      <c r="E7" s="246">
        <f t="shared" si="0"/>
        <v>2038.95</v>
      </c>
      <c r="F7" s="247" t="s">
        <v>266</v>
      </c>
      <c r="G7" s="263">
        <f t="shared" si="25"/>
        <v>0.3</v>
      </c>
      <c r="H7" s="246">
        <f t="shared" si="1"/>
        <v>2038.95</v>
      </c>
      <c r="I7" s="247" t="s">
        <v>266</v>
      </c>
      <c r="J7" s="263">
        <f t="shared" si="2"/>
        <v>0.3</v>
      </c>
      <c r="K7" s="246">
        <f t="shared" si="3"/>
        <v>2038.95</v>
      </c>
      <c r="L7" s="247" t="s">
        <v>266</v>
      </c>
      <c r="M7" s="263">
        <f t="shared" si="4"/>
        <v>0.3</v>
      </c>
      <c r="N7" s="246">
        <f t="shared" si="5"/>
        <v>2038.95</v>
      </c>
      <c r="O7" s="247" t="s">
        <v>266</v>
      </c>
      <c r="P7" s="263">
        <f t="shared" si="6"/>
        <v>0.3</v>
      </c>
      <c r="Q7" s="246">
        <f t="shared" si="7"/>
        <v>2038.95</v>
      </c>
      <c r="R7" s="247" t="s">
        <v>266</v>
      </c>
      <c r="S7" s="263">
        <f t="shared" si="8"/>
        <v>0.3</v>
      </c>
      <c r="T7" s="246">
        <f t="shared" si="9"/>
        <v>2038.95</v>
      </c>
      <c r="U7" s="247" t="s">
        <v>266</v>
      </c>
      <c r="V7" s="263">
        <f t="shared" si="10"/>
        <v>0.3</v>
      </c>
      <c r="W7" s="246">
        <f t="shared" si="11"/>
        <v>2038.95</v>
      </c>
      <c r="X7" s="247" t="s">
        <v>266</v>
      </c>
      <c r="Y7" s="263">
        <f t="shared" si="12"/>
        <v>0.3</v>
      </c>
      <c r="Z7" s="246">
        <f t="shared" si="13"/>
        <v>2038.95</v>
      </c>
      <c r="AA7" s="247" t="s">
        <v>266</v>
      </c>
      <c r="AB7" s="263">
        <f t="shared" si="14"/>
        <v>0.3</v>
      </c>
      <c r="AC7" s="246">
        <f t="shared" si="15"/>
        <v>2038.95</v>
      </c>
      <c r="AD7" s="247" t="s">
        <v>266</v>
      </c>
      <c r="AE7" s="263">
        <f t="shared" si="16"/>
        <v>0.3</v>
      </c>
      <c r="AF7" s="246">
        <f t="shared" si="17"/>
        <v>2038.95</v>
      </c>
      <c r="AG7" s="247" t="s">
        <v>266</v>
      </c>
      <c r="AH7" s="263">
        <f t="shared" si="18"/>
        <v>0.3</v>
      </c>
      <c r="AI7" s="246">
        <f t="shared" si="19"/>
        <v>2038.95</v>
      </c>
      <c r="AJ7" s="247" t="s">
        <v>266</v>
      </c>
      <c r="AK7" s="263">
        <f t="shared" si="20"/>
        <v>0.3</v>
      </c>
      <c r="AL7" s="246">
        <f t="shared" si="21"/>
        <v>2038.95</v>
      </c>
      <c r="AM7" s="247" t="s">
        <v>266</v>
      </c>
      <c r="AN7" s="242">
        <f t="shared" si="22"/>
        <v>0.29999999999999993</v>
      </c>
      <c r="AO7" s="246">
        <f t="shared" si="23"/>
        <v>24467.400000000005</v>
      </c>
      <c r="AP7" s="246">
        <f>'Chair Non-Fed'!AL13</f>
        <v>24467.400000000005</v>
      </c>
      <c r="AQ7" s="243">
        <f t="shared" si="24"/>
        <v>0</v>
      </c>
      <c r="AR7" s="249" t="s">
        <v>267</v>
      </c>
      <c r="AS7" s="237"/>
    </row>
    <row r="8" spans="1:46" x14ac:dyDescent="0.2">
      <c r="A8" s="237"/>
      <c r="B8" s="248"/>
      <c r="C8" s="245" t="s">
        <v>133</v>
      </c>
      <c r="D8" s="263">
        <v>0.3</v>
      </c>
      <c r="E8" s="246">
        <f t="shared" ref="E8" si="26">ROUND(D8*F$12,2)</f>
        <v>1163.3399999999999</v>
      </c>
      <c r="F8" s="249" t="s">
        <v>256</v>
      </c>
      <c r="G8" s="263">
        <f t="shared" si="25"/>
        <v>0.3</v>
      </c>
      <c r="H8" s="246">
        <f t="shared" ref="H8" si="27">ROUND(G8*I$12,2)</f>
        <v>1163.3399999999999</v>
      </c>
      <c r="I8" s="249" t="s">
        <v>256</v>
      </c>
      <c r="J8" s="263">
        <f t="shared" si="2"/>
        <v>0.3</v>
      </c>
      <c r="K8" s="246">
        <f t="shared" ref="K8" si="28">ROUND(J8*L$12,2)</f>
        <v>1163.3399999999999</v>
      </c>
      <c r="L8" s="249" t="s">
        <v>256</v>
      </c>
      <c r="M8" s="263">
        <f t="shared" si="4"/>
        <v>0.3</v>
      </c>
      <c r="N8" s="246">
        <f t="shared" ref="N8" si="29">ROUND(M8*O$12,2)</f>
        <v>1163.3399999999999</v>
      </c>
      <c r="O8" s="249" t="s">
        <v>256</v>
      </c>
      <c r="P8" s="263">
        <f t="shared" si="6"/>
        <v>0.3</v>
      </c>
      <c r="Q8" s="246">
        <f t="shared" ref="Q8" si="30">ROUND(P8*R$12,2)</f>
        <v>1163.3399999999999</v>
      </c>
      <c r="R8" s="249" t="s">
        <v>256</v>
      </c>
      <c r="S8" s="263">
        <f t="shared" si="8"/>
        <v>0.3</v>
      </c>
      <c r="T8" s="246">
        <f t="shared" ref="T8" si="31">ROUND(S8*U$12,2)</f>
        <v>1163.3399999999999</v>
      </c>
      <c r="U8" s="249" t="s">
        <v>256</v>
      </c>
      <c r="V8" s="263">
        <f t="shared" si="10"/>
        <v>0.3</v>
      </c>
      <c r="W8" s="246">
        <f t="shared" ref="W8" si="32">ROUND(V8*X$12,2)</f>
        <v>1163.3399999999999</v>
      </c>
      <c r="X8" s="249" t="s">
        <v>256</v>
      </c>
      <c r="Y8" s="263">
        <f t="shared" si="12"/>
        <v>0.3</v>
      </c>
      <c r="Z8" s="246">
        <f t="shared" ref="Z8" si="33">ROUND(Y8*AA$12,2)</f>
        <v>1163.3399999999999</v>
      </c>
      <c r="AA8" s="249" t="s">
        <v>256</v>
      </c>
      <c r="AB8" s="263">
        <f t="shared" si="14"/>
        <v>0.3</v>
      </c>
      <c r="AC8" s="246">
        <f t="shared" ref="AC8" si="34">ROUND(AB8*AD$12,2)</f>
        <v>1163.3399999999999</v>
      </c>
      <c r="AD8" s="249" t="s">
        <v>256</v>
      </c>
      <c r="AE8" s="263">
        <f t="shared" si="16"/>
        <v>0.3</v>
      </c>
      <c r="AF8" s="246">
        <f t="shared" ref="AF8" si="35">ROUND(AE8*AG$12,2)</f>
        <v>1163.3399999999999</v>
      </c>
      <c r="AG8" s="249" t="s">
        <v>256</v>
      </c>
      <c r="AH8" s="263">
        <f t="shared" si="18"/>
        <v>0.3</v>
      </c>
      <c r="AI8" s="246">
        <f t="shared" ref="AI8" si="36">ROUND(AH8*AJ$12,2)</f>
        <v>1163.3399999999999</v>
      </c>
      <c r="AJ8" s="249" t="s">
        <v>256</v>
      </c>
      <c r="AK8" s="263">
        <f t="shared" si="20"/>
        <v>0.3</v>
      </c>
      <c r="AL8" s="246">
        <f t="shared" ref="AL8" si="37">ROUND(AK8*AM$12,2)</f>
        <v>1163.3399999999999</v>
      </c>
      <c r="AM8" s="249" t="s">
        <v>256</v>
      </c>
      <c r="AN8" s="242">
        <f t="shared" si="22"/>
        <v>0.29999999999999993</v>
      </c>
      <c r="AO8" s="246">
        <f t="shared" si="23"/>
        <v>13960.08</v>
      </c>
      <c r="AP8" s="246">
        <f>Operating!AK17</f>
        <v>13960.08</v>
      </c>
      <c r="AQ8" s="243">
        <f t="shared" si="24"/>
        <v>0</v>
      </c>
      <c r="AR8" s="249" t="s">
        <v>292</v>
      </c>
      <c r="AS8" s="237"/>
    </row>
    <row r="9" spans="1:46" x14ac:dyDescent="0.2">
      <c r="A9" s="237"/>
      <c r="B9" s="251"/>
      <c r="C9" s="250"/>
      <c r="D9" s="252"/>
      <c r="E9" s="240"/>
      <c r="F9" s="247"/>
      <c r="G9" s="252"/>
      <c r="H9" s="240"/>
      <c r="I9" s="247"/>
      <c r="J9" s="252"/>
      <c r="K9" s="240"/>
      <c r="L9" s="247"/>
      <c r="M9" s="252"/>
      <c r="N9" s="240"/>
      <c r="O9" s="247"/>
      <c r="P9" s="252"/>
      <c r="Q9" s="240"/>
      <c r="R9" s="247"/>
      <c r="S9" s="252"/>
      <c r="T9" s="240"/>
      <c r="U9" s="247"/>
      <c r="V9" s="252"/>
      <c r="W9" s="240"/>
      <c r="X9" s="247"/>
      <c r="Y9" s="252"/>
      <c r="Z9" s="240"/>
      <c r="AA9" s="247"/>
      <c r="AB9" s="252"/>
      <c r="AC9" s="240"/>
      <c r="AD9" s="247"/>
      <c r="AE9" s="252"/>
      <c r="AF9" s="240"/>
      <c r="AG9" s="247"/>
      <c r="AH9" s="252"/>
      <c r="AI9" s="240"/>
      <c r="AJ9" s="247"/>
      <c r="AK9" s="252"/>
      <c r="AL9" s="240"/>
      <c r="AM9" s="247"/>
      <c r="AN9" s="242"/>
      <c r="AO9" s="240"/>
      <c r="AP9" s="240"/>
      <c r="AQ9" s="243"/>
      <c r="AR9" s="428"/>
      <c r="AS9" s="237"/>
    </row>
    <row r="10" spans="1:46" s="258" customFormat="1" x14ac:dyDescent="0.2">
      <c r="A10" s="237"/>
      <c r="B10" s="253"/>
      <c r="C10" s="253"/>
      <c r="D10" s="254">
        <f>SUM(D5:D9)</f>
        <v>1</v>
      </c>
      <c r="E10" s="255"/>
      <c r="F10" s="256"/>
      <c r="G10" s="254">
        <f>SUM(G5:G9)</f>
        <v>1</v>
      </c>
      <c r="H10" s="255"/>
      <c r="I10" s="256"/>
      <c r="J10" s="254">
        <f>SUM(J5:J9)</f>
        <v>1</v>
      </c>
      <c r="K10" s="255"/>
      <c r="L10" s="256"/>
      <c r="M10" s="254">
        <f>SUM(M5:M9)</f>
        <v>1</v>
      </c>
      <c r="N10" s="255"/>
      <c r="O10" s="256"/>
      <c r="P10" s="254">
        <f>SUM(P5:P9)</f>
        <v>1</v>
      </c>
      <c r="Q10" s="255"/>
      <c r="R10" s="256"/>
      <c r="S10" s="254">
        <f>SUM(S5:S9)</f>
        <v>1</v>
      </c>
      <c r="T10" s="255"/>
      <c r="U10" s="256"/>
      <c r="V10" s="254">
        <f>SUM(V5:V9)</f>
        <v>1</v>
      </c>
      <c r="W10" s="255"/>
      <c r="X10" s="256"/>
      <c r="Y10" s="254">
        <f>SUM(Y5:Y9)</f>
        <v>1</v>
      </c>
      <c r="Z10" s="255"/>
      <c r="AA10" s="256"/>
      <c r="AB10" s="254">
        <f>SUM(AB5:AB9)</f>
        <v>1</v>
      </c>
      <c r="AC10" s="255"/>
      <c r="AD10" s="256"/>
      <c r="AE10" s="254">
        <f>SUM(AE5:AE9)</f>
        <v>1</v>
      </c>
      <c r="AF10" s="255"/>
      <c r="AG10" s="256"/>
      <c r="AH10" s="254">
        <f>SUM(AH5:AH9)</f>
        <v>1</v>
      </c>
      <c r="AI10" s="255"/>
      <c r="AJ10" s="256"/>
      <c r="AK10" s="254">
        <f>SUM(AK5:AK9)</f>
        <v>1</v>
      </c>
      <c r="AL10" s="255"/>
      <c r="AM10" s="256"/>
      <c r="AN10" s="254">
        <f>SUM(AN5:AN9)</f>
        <v>0.99999999999999989</v>
      </c>
      <c r="AO10" s="255">
        <f>SUM(AO4:AO9)</f>
        <v>71050.679999999993</v>
      </c>
      <c r="AP10" s="255"/>
      <c r="AQ10" s="227"/>
      <c r="AR10" s="428"/>
      <c r="AS10" s="237"/>
      <c r="AT10" s="257"/>
    </row>
    <row r="11" spans="1:46" x14ac:dyDescent="0.2">
      <c r="A11" s="230"/>
      <c r="B11" s="231"/>
      <c r="C11" s="231"/>
      <c r="D11" s="232"/>
      <c r="E11" s="233"/>
      <c r="F11" s="234"/>
      <c r="G11" s="232"/>
      <c r="H11" s="233"/>
      <c r="I11" s="234"/>
      <c r="J11" s="232"/>
      <c r="K11" s="233"/>
      <c r="L11" s="234"/>
      <c r="M11" s="232"/>
      <c r="N11" s="233"/>
      <c r="O11" s="234"/>
      <c r="P11" s="232"/>
      <c r="Q11" s="233"/>
      <c r="R11" s="234"/>
      <c r="S11" s="232"/>
      <c r="T11" s="233"/>
      <c r="U11" s="234"/>
      <c r="V11" s="232"/>
      <c r="W11" s="233"/>
      <c r="X11" s="234"/>
      <c r="Y11" s="232"/>
      <c r="Z11" s="233"/>
      <c r="AA11" s="234"/>
      <c r="AB11" s="232"/>
      <c r="AC11" s="233"/>
      <c r="AD11" s="234"/>
      <c r="AE11" s="232"/>
      <c r="AF11" s="233"/>
      <c r="AG11" s="234"/>
      <c r="AH11" s="232"/>
      <c r="AI11" s="233"/>
      <c r="AJ11" s="234"/>
      <c r="AK11" s="232"/>
      <c r="AL11" s="233"/>
      <c r="AM11" s="234"/>
      <c r="AN11" s="235"/>
      <c r="AO11" s="233"/>
      <c r="AP11" s="233"/>
      <c r="AQ11" s="236"/>
      <c r="AR11" s="426"/>
      <c r="AS11" s="230"/>
    </row>
    <row r="12" spans="1:46" x14ac:dyDescent="0.2">
      <c r="A12" s="237" t="s">
        <v>131</v>
      </c>
      <c r="B12" s="238">
        <f>ROUND(45288*1.0275,2)</f>
        <v>46533.42</v>
      </c>
      <c r="C12" s="238"/>
      <c r="D12" s="239"/>
      <c r="E12" s="240"/>
      <c r="F12" s="241">
        <f>ROUND($B12/12,2)</f>
        <v>3877.79</v>
      </c>
      <c r="G12" s="239"/>
      <c r="H12" s="240"/>
      <c r="I12" s="241">
        <f>ROUND($B12/12,2)</f>
        <v>3877.79</v>
      </c>
      <c r="J12" s="239"/>
      <c r="K12" s="240"/>
      <c r="L12" s="241">
        <f>ROUND($B12/12,2)</f>
        <v>3877.79</v>
      </c>
      <c r="M12" s="239"/>
      <c r="N12" s="240"/>
      <c r="O12" s="241">
        <f>ROUND($B12/12,2)</f>
        <v>3877.79</v>
      </c>
      <c r="P12" s="239"/>
      <c r="Q12" s="240"/>
      <c r="R12" s="241">
        <f>ROUND($B12/12,2)</f>
        <v>3877.79</v>
      </c>
      <c r="S12" s="239"/>
      <c r="T12" s="240"/>
      <c r="U12" s="241">
        <f>ROUND($B12/12,2)</f>
        <v>3877.79</v>
      </c>
      <c r="V12" s="239"/>
      <c r="W12" s="240"/>
      <c r="X12" s="241">
        <f>ROUND($B12/12,2)</f>
        <v>3877.79</v>
      </c>
      <c r="Y12" s="239"/>
      <c r="Z12" s="240"/>
      <c r="AA12" s="241">
        <f>ROUND($B12/12,2)</f>
        <v>3877.79</v>
      </c>
      <c r="AB12" s="239"/>
      <c r="AC12" s="240"/>
      <c r="AD12" s="241">
        <f>ROUND($B12/12,2)</f>
        <v>3877.79</v>
      </c>
      <c r="AE12" s="239"/>
      <c r="AF12" s="240"/>
      <c r="AG12" s="241">
        <f>ROUND($B12/12,2)</f>
        <v>3877.79</v>
      </c>
      <c r="AH12" s="239"/>
      <c r="AI12" s="240"/>
      <c r="AJ12" s="241">
        <f>ROUND($B12/12,2)</f>
        <v>3877.79</v>
      </c>
      <c r="AK12" s="239"/>
      <c r="AL12" s="240"/>
      <c r="AM12" s="241">
        <f>ROUND($B12/12,2)</f>
        <v>3877.79</v>
      </c>
      <c r="AN12" s="242"/>
      <c r="AO12" s="240"/>
      <c r="AP12" s="240"/>
      <c r="AQ12" s="243"/>
      <c r="AR12" s="427"/>
      <c r="AS12" s="237" t="s">
        <v>131</v>
      </c>
    </row>
    <row r="13" spans="1:46" x14ac:dyDescent="0.2">
      <c r="A13" s="237" t="s">
        <v>126</v>
      </c>
      <c r="B13" s="244"/>
      <c r="C13" s="245" t="s">
        <v>264</v>
      </c>
      <c r="D13" s="263">
        <v>0.6</v>
      </c>
      <c r="E13" s="246">
        <f>ROUND(D13*F$12,2)</f>
        <v>2326.67</v>
      </c>
      <c r="F13" s="247" t="s">
        <v>259</v>
      </c>
      <c r="G13" s="263">
        <f>D13</f>
        <v>0.6</v>
      </c>
      <c r="H13" s="246">
        <f>ROUND(G13*I$12,2)</f>
        <v>2326.67</v>
      </c>
      <c r="I13" s="247" t="s">
        <v>259</v>
      </c>
      <c r="J13" s="263">
        <f t="shared" ref="J13:J15" si="38">G13</f>
        <v>0.6</v>
      </c>
      <c r="K13" s="246">
        <f t="shared" ref="K13" si="39">ROUND(J13*L$12,2)</f>
        <v>2326.67</v>
      </c>
      <c r="L13" s="247" t="s">
        <v>259</v>
      </c>
      <c r="M13" s="263">
        <f t="shared" ref="M13:M15" si="40">J13</f>
        <v>0.6</v>
      </c>
      <c r="N13" s="246">
        <f t="shared" ref="N13" si="41">ROUND(M13*O$12,2)</f>
        <v>2326.67</v>
      </c>
      <c r="O13" s="247" t="s">
        <v>259</v>
      </c>
      <c r="P13" s="263">
        <f t="shared" ref="P13:P15" si="42">M13</f>
        <v>0.6</v>
      </c>
      <c r="Q13" s="246">
        <f t="shared" ref="Q13" si="43">ROUND(P13*R$12,2)</f>
        <v>2326.67</v>
      </c>
      <c r="R13" s="247" t="s">
        <v>259</v>
      </c>
      <c r="S13" s="263">
        <f t="shared" ref="S13:S15" si="44">P13</f>
        <v>0.6</v>
      </c>
      <c r="T13" s="246">
        <f t="shared" ref="T13" si="45">ROUND(S13*U$12,2)</f>
        <v>2326.67</v>
      </c>
      <c r="U13" s="247" t="s">
        <v>259</v>
      </c>
      <c r="V13" s="263">
        <f t="shared" ref="V13:V15" si="46">S13</f>
        <v>0.6</v>
      </c>
      <c r="W13" s="246">
        <f t="shared" ref="W13" si="47">ROUND(V13*X$12,2)</f>
        <v>2326.67</v>
      </c>
      <c r="X13" s="247" t="s">
        <v>259</v>
      </c>
      <c r="Y13" s="263">
        <f t="shared" ref="Y13:Y15" si="48">V13</f>
        <v>0.6</v>
      </c>
      <c r="Z13" s="246">
        <f t="shared" ref="Z13" si="49">ROUND(Y13*AA$12,2)</f>
        <v>2326.67</v>
      </c>
      <c r="AA13" s="247" t="s">
        <v>259</v>
      </c>
      <c r="AB13" s="263">
        <f t="shared" ref="AB13:AB15" si="50">Y13</f>
        <v>0.6</v>
      </c>
      <c r="AC13" s="246">
        <f t="shared" ref="AC13" si="51">ROUND(AB13*AD$12,2)</f>
        <v>2326.67</v>
      </c>
      <c r="AD13" s="247" t="s">
        <v>259</v>
      </c>
      <c r="AE13" s="263">
        <f t="shared" ref="AE13:AE15" si="52">AB13</f>
        <v>0.6</v>
      </c>
      <c r="AF13" s="246">
        <f t="shared" ref="AF13" si="53">ROUND(AE13*AG$12,2)</f>
        <v>2326.67</v>
      </c>
      <c r="AG13" s="247" t="s">
        <v>259</v>
      </c>
      <c r="AH13" s="263">
        <f t="shared" ref="AH13:AH15" si="54">AE13</f>
        <v>0.6</v>
      </c>
      <c r="AI13" s="246">
        <f t="shared" ref="AI13" si="55">ROUND(AH13*AJ$12,2)</f>
        <v>2326.67</v>
      </c>
      <c r="AJ13" s="247" t="s">
        <v>259</v>
      </c>
      <c r="AK13" s="263">
        <f t="shared" ref="AK13:AK15" si="56">AH13</f>
        <v>0.6</v>
      </c>
      <c r="AL13" s="246">
        <f t="shared" ref="AL13" si="57">ROUND(AK13*AM$12,2)</f>
        <v>2326.67</v>
      </c>
      <c r="AM13" s="247" t="s">
        <v>259</v>
      </c>
      <c r="AN13" s="242">
        <f t="shared" ref="AN13:AN15" si="58">(AK13+AH13+AE13+AB13+Y13+V13+S13+P13+M13+J13+G13+D13)/12</f>
        <v>0.59999999999999987</v>
      </c>
      <c r="AO13" s="246">
        <f t="shared" ref="AO13:AO15" si="59">AL13+AI13+AF13+AC13+Z13+W13+T13+Q13+N13+K13+H13+E13</f>
        <v>27920.039999999994</v>
      </c>
      <c r="AP13" s="246">
        <f>'Chair R01'!AL17</f>
        <v>27920.039999999994</v>
      </c>
      <c r="AQ13" s="243">
        <f t="shared" ref="AQ13:AQ15" si="60">AP13-AO13</f>
        <v>0</v>
      </c>
      <c r="AR13" s="249" t="s">
        <v>264</v>
      </c>
      <c r="AS13" s="237" t="s">
        <v>126</v>
      </c>
    </row>
    <row r="14" spans="1:46" x14ac:dyDescent="0.2">
      <c r="A14" s="237"/>
      <c r="B14" s="244"/>
      <c r="C14" s="245" t="s">
        <v>291</v>
      </c>
      <c r="D14" s="263">
        <v>0.3</v>
      </c>
      <c r="E14" s="246">
        <f t="shared" ref="E14:E15" si="61">ROUND(D14*F$12,2)</f>
        <v>1163.3399999999999</v>
      </c>
      <c r="F14" s="247" t="s">
        <v>260</v>
      </c>
      <c r="G14" s="263">
        <f>D14</f>
        <v>0.3</v>
      </c>
      <c r="H14" s="246">
        <f>ROUND(G14*I$12,2)</f>
        <v>1163.3399999999999</v>
      </c>
      <c r="I14" s="247" t="s">
        <v>260</v>
      </c>
      <c r="J14" s="263">
        <f t="shared" si="38"/>
        <v>0.3</v>
      </c>
      <c r="K14" s="246">
        <f t="shared" ref="K14:K15" si="62">ROUND(J14*L$12,2)</f>
        <v>1163.3399999999999</v>
      </c>
      <c r="L14" s="247" t="s">
        <v>260</v>
      </c>
      <c r="M14" s="263">
        <f t="shared" si="40"/>
        <v>0.3</v>
      </c>
      <c r="N14" s="246">
        <f t="shared" ref="N14:N15" si="63">ROUND(M14*O$12,2)</f>
        <v>1163.3399999999999</v>
      </c>
      <c r="O14" s="247" t="s">
        <v>260</v>
      </c>
      <c r="P14" s="263">
        <f t="shared" si="42"/>
        <v>0.3</v>
      </c>
      <c r="Q14" s="246">
        <f t="shared" ref="Q14:Q15" si="64">ROUND(P14*R$12,2)</f>
        <v>1163.3399999999999</v>
      </c>
      <c r="R14" s="247" t="s">
        <v>260</v>
      </c>
      <c r="S14" s="263">
        <f t="shared" si="44"/>
        <v>0.3</v>
      </c>
      <c r="T14" s="246">
        <f t="shared" ref="T14:T15" si="65">ROUND(S14*U$12,2)</f>
        <v>1163.3399999999999</v>
      </c>
      <c r="U14" s="247" t="s">
        <v>260</v>
      </c>
      <c r="V14" s="263">
        <f t="shared" si="46"/>
        <v>0.3</v>
      </c>
      <c r="W14" s="246">
        <f t="shared" ref="W14:W15" si="66">ROUND(V14*X$12,2)</f>
        <v>1163.3399999999999</v>
      </c>
      <c r="X14" s="247" t="s">
        <v>260</v>
      </c>
      <c r="Y14" s="263">
        <f t="shared" si="48"/>
        <v>0.3</v>
      </c>
      <c r="Z14" s="246">
        <f t="shared" ref="Z14:Z15" si="67">ROUND(Y14*AA$12,2)</f>
        <v>1163.3399999999999</v>
      </c>
      <c r="AA14" s="247" t="s">
        <v>260</v>
      </c>
      <c r="AB14" s="263">
        <f t="shared" si="50"/>
        <v>0.3</v>
      </c>
      <c r="AC14" s="246">
        <f t="shared" ref="AC14:AC15" si="68">ROUND(AB14*AD$12,2)</f>
        <v>1163.3399999999999</v>
      </c>
      <c r="AD14" s="247" t="s">
        <v>260</v>
      </c>
      <c r="AE14" s="263">
        <f t="shared" si="52"/>
        <v>0.3</v>
      </c>
      <c r="AF14" s="246">
        <f t="shared" ref="AF14:AF15" si="69">ROUND(AE14*AG$12,2)</f>
        <v>1163.3399999999999</v>
      </c>
      <c r="AG14" s="247" t="s">
        <v>260</v>
      </c>
      <c r="AH14" s="263">
        <f t="shared" si="54"/>
        <v>0.3</v>
      </c>
      <c r="AI14" s="246">
        <f t="shared" ref="AI14:AI15" si="70">ROUND(AH14*AJ$12,2)</f>
        <v>1163.3399999999999</v>
      </c>
      <c r="AJ14" s="247" t="s">
        <v>260</v>
      </c>
      <c r="AK14" s="263">
        <f t="shared" si="56"/>
        <v>0.3</v>
      </c>
      <c r="AL14" s="246">
        <f t="shared" ref="AL14:AL15" si="71">ROUND(AK14*AM$12,2)</f>
        <v>1163.3399999999999</v>
      </c>
      <c r="AM14" s="247" t="s">
        <v>260</v>
      </c>
      <c r="AN14" s="242">
        <f t="shared" si="58"/>
        <v>0.29999999999999993</v>
      </c>
      <c r="AO14" s="246">
        <f t="shared" si="59"/>
        <v>13960.08</v>
      </c>
      <c r="AP14" s="246">
        <f>'Chair R03'!AL14</f>
        <v>13960.08</v>
      </c>
      <c r="AQ14" s="243">
        <f t="shared" si="60"/>
        <v>0</v>
      </c>
      <c r="AR14" s="249" t="s">
        <v>291</v>
      </c>
      <c r="AS14" s="237"/>
    </row>
    <row r="15" spans="1:46" x14ac:dyDescent="0.2">
      <c r="A15" s="237"/>
      <c r="B15" s="244"/>
      <c r="C15" s="245" t="s">
        <v>267</v>
      </c>
      <c r="D15" s="263">
        <v>0.1</v>
      </c>
      <c r="E15" s="246">
        <f t="shared" si="61"/>
        <v>387.78</v>
      </c>
      <c r="F15" s="247" t="s">
        <v>266</v>
      </c>
      <c r="G15" s="263">
        <f>D15</f>
        <v>0.1</v>
      </c>
      <c r="H15" s="246">
        <f t="shared" ref="H15" si="72">ROUND(G15*I$12,2)</f>
        <v>387.78</v>
      </c>
      <c r="I15" s="247" t="s">
        <v>266</v>
      </c>
      <c r="J15" s="263">
        <f t="shared" si="38"/>
        <v>0.1</v>
      </c>
      <c r="K15" s="246">
        <f t="shared" si="62"/>
        <v>387.78</v>
      </c>
      <c r="L15" s="247" t="s">
        <v>266</v>
      </c>
      <c r="M15" s="263">
        <f t="shared" si="40"/>
        <v>0.1</v>
      </c>
      <c r="N15" s="246">
        <f t="shared" si="63"/>
        <v>387.78</v>
      </c>
      <c r="O15" s="247" t="s">
        <v>266</v>
      </c>
      <c r="P15" s="263">
        <f t="shared" si="42"/>
        <v>0.1</v>
      </c>
      <c r="Q15" s="246">
        <f t="shared" si="64"/>
        <v>387.78</v>
      </c>
      <c r="R15" s="247" t="s">
        <v>266</v>
      </c>
      <c r="S15" s="263">
        <f t="shared" si="44"/>
        <v>0.1</v>
      </c>
      <c r="T15" s="246">
        <f t="shared" si="65"/>
        <v>387.78</v>
      </c>
      <c r="U15" s="247" t="s">
        <v>266</v>
      </c>
      <c r="V15" s="263">
        <f t="shared" si="46"/>
        <v>0.1</v>
      </c>
      <c r="W15" s="246">
        <f t="shared" si="66"/>
        <v>387.78</v>
      </c>
      <c r="X15" s="247" t="s">
        <v>266</v>
      </c>
      <c r="Y15" s="263">
        <f t="shared" si="48"/>
        <v>0.1</v>
      </c>
      <c r="Z15" s="246">
        <f t="shared" si="67"/>
        <v>387.78</v>
      </c>
      <c r="AA15" s="247" t="s">
        <v>266</v>
      </c>
      <c r="AB15" s="263">
        <f t="shared" si="50"/>
        <v>0.1</v>
      </c>
      <c r="AC15" s="246">
        <f t="shared" si="68"/>
        <v>387.78</v>
      </c>
      <c r="AD15" s="247" t="s">
        <v>266</v>
      </c>
      <c r="AE15" s="263">
        <f t="shared" si="52"/>
        <v>0.1</v>
      </c>
      <c r="AF15" s="246">
        <f t="shared" si="69"/>
        <v>387.78</v>
      </c>
      <c r="AG15" s="247" t="s">
        <v>266</v>
      </c>
      <c r="AH15" s="263">
        <f t="shared" si="54"/>
        <v>0.1</v>
      </c>
      <c r="AI15" s="246">
        <f t="shared" si="70"/>
        <v>387.78</v>
      </c>
      <c r="AJ15" s="247" t="s">
        <v>266</v>
      </c>
      <c r="AK15" s="263">
        <f t="shared" si="56"/>
        <v>0.1</v>
      </c>
      <c r="AL15" s="246">
        <f t="shared" si="71"/>
        <v>387.78</v>
      </c>
      <c r="AM15" s="247" t="s">
        <v>266</v>
      </c>
      <c r="AN15" s="242">
        <f t="shared" si="58"/>
        <v>9.9999999999999992E-2</v>
      </c>
      <c r="AO15" s="246">
        <f t="shared" si="59"/>
        <v>4653.3599999999988</v>
      </c>
      <c r="AP15" s="246">
        <f>'Chair Non-Fed'!AL14</f>
        <v>4653.3599999999988</v>
      </c>
      <c r="AQ15" s="243">
        <f t="shared" si="60"/>
        <v>0</v>
      </c>
      <c r="AR15" s="249" t="s">
        <v>267</v>
      </c>
      <c r="AS15" s="237"/>
    </row>
    <row r="16" spans="1:46" x14ac:dyDescent="0.2">
      <c r="A16" s="250"/>
      <c r="B16" s="244"/>
      <c r="C16" s="244"/>
      <c r="D16" s="261"/>
      <c r="E16" s="246"/>
      <c r="F16" s="247"/>
      <c r="G16" s="261"/>
      <c r="H16" s="246"/>
      <c r="I16" s="247"/>
      <c r="J16" s="261"/>
      <c r="K16" s="246"/>
      <c r="L16" s="247"/>
      <c r="M16" s="261"/>
      <c r="N16" s="246"/>
      <c r="O16" s="247"/>
      <c r="P16" s="261"/>
      <c r="Q16" s="246"/>
      <c r="R16" s="247"/>
      <c r="S16" s="261"/>
      <c r="T16" s="246"/>
      <c r="U16" s="247"/>
      <c r="V16" s="261"/>
      <c r="W16" s="246"/>
      <c r="X16" s="247"/>
      <c r="Y16" s="261"/>
      <c r="Z16" s="246"/>
      <c r="AA16" s="247"/>
      <c r="AB16" s="261"/>
      <c r="AC16" s="246"/>
      <c r="AD16" s="247"/>
      <c r="AE16" s="261"/>
      <c r="AF16" s="246"/>
      <c r="AG16" s="247"/>
      <c r="AH16" s="261"/>
      <c r="AI16" s="246"/>
      <c r="AJ16" s="247"/>
      <c r="AK16" s="261"/>
      <c r="AL16" s="246"/>
      <c r="AM16" s="247"/>
      <c r="AN16" s="242"/>
      <c r="AO16" s="246"/>
      <c r="AP16" s="246"/>
      <c r="AQ16" s="243"/>
      <c r="AR16" s="249"/>
      <c r="AS16" s="250"/>
    </row>
    <row r="17" spans="1:46" s="258" customFormat="1" x14ac:dyDescent="0.2">
      <c r="A17" s="237"/>
      <c r="B17" s="237"/>
      <c r="C17" s="237"/>
      <c r="D17" s="254">
        <f>SUM(D13:D16)</f>
        <v>0.99999999999999989</v>
      </c>
      <c r="E17" s="255"/>
      <c r="F17" s="256"/>
      <c r="G17" s="254">
        <f>SUM(G13:G16)</f>
        <v>0.99999999999999989</v>
      </c>
      <c r="H17" s="255"/>
      <c r="I17" s="256"/>
      <c r="J17" s="254">
        <f>SUM(J13:J16)</f>
        <v>0.99999999999999989</v>
      </c>
      <c r="K17" s="255"/>
      <c r="L17" s="256"/>
      <c r="M17" s="254">
        <f>SUM(M13:M16)</f>
        <v>0.99999999999999989</v>
      </c>
      <c r="N17" s="255"/>
      <c r="O17" s="256"/>
      <c r="P17" s="254">
        <f>SUM(P13:P16)</f>
        <v>0.99999999999999989</v>
      </c>
      <c r="Q17" s="255"/>
      <c r="R17" s="256"/>
      <c r="S17" s="254">
        <f>SUM(S13:S16)</f>
        <v>0.99999999999999989</v>
      </c>
      <c r="T17" s="255"/>
      <c r="U17" s="256"/>
      <c r="V17" s="254">
        <f>SUM(V13:V16)</f>
        <v>0.99999999999999989</v>
      </c>
      <c r="W17" s="255"/>
      <c r="X17" s="256"/>
      <c r="Y17" s="254">
        <f>SUM(Y13:Y16)</f>
        <v>0.99999999999999989</v>
      </c>
      <c r="Z17" s="255"/>
      <c r="AA17" s="256"/>
      <c r="AB17" s="254">
        <f>SUM(AB13:AB16)</f>
        <v>0.99999999999999989</v>
      </c>
      <c r="AC17" s="255"/>
      <c r="AD17" s="256"/>
      <c r="AE17" s="254">
        <f>SUM(AE13:AE16)</f>
        <v>0.99999999999999989</v>
      </c>
      <c r="AF17" s="255"/>
      <c r="AG17" s="256"/>
      <c r="AH17" s="254">
        <f>SUM(AH13:AH16)</f>
        <v>0.99999999999999989</v>
      </c>
      <c r="AI17" s="255"/>
      <c r="AJ17" s="256"/>
      <c r="AK17" s="254">
        <f>SUM(AK13:AK16)</f>
        <v>0.99999999999999989</v>
      </c>
      <c r="AL17" s="255"/>
      <c r="AM17" s="256"/>
      <c r="AN17" s="262">
        <f>SUM(AN13:AN16)</f>
        <v>0.99999999999999978</v>
      </c>
      <c r="AO17" s="255">
        <f>SUM(AO12:AO16)</f>
        <v>46533.479999999996</v>
      </c>
      <c r="AP17" s="255"/>
      <c r="AQ17" s="227"/>
      <c r="AR17" s="429"/>
      <c r="AS17" s="237"/>
      <c r="AT17" s="257"/>
    </row>
    <row r="18" spans="1:46" s="272" customFormat="1" ht="10.5" customHeight="1" x14ac:dyDescent="0.2">
      <c r="A18" s="264"/>
      <c r="B18" s="265"/>
      <c r="C18" s="265"/>
      <c r="D18" s="266"/>
      <c r="E18" s="267"/>
      <c r="F18" s="268"/>
      <c r="G18" s="266"/>
      <c r="H18" s="267"/>
      <c r="I18" s="268"/>
      <c r="J18" s="266"/>
      <c r="K18" s="267"/>
      <c r="L18" s="268"/>
      <c r="M18" s="266"/>
      <c r="N18" s="267"/>
      <c r="O18" s="268"/>
      <c r="P18" s="266"/>
      <c r="Q18" s="267"/>
      <c r="R18" s="268"/>
      <c r="S18" s="266"/>
      <c r="T18" s="267"/>
      <c r="U18" s="268"/>
      <c r="V18" s="266"/>
      <c r="W18" s="267"/>
      <c r="X18" s="268"/>
      <c r="Y18" s="266"/>
      <c r="Z18" s="267"/>
      <c r="AA18" s="268"/>
      <c r="AB18" s="266"/>
      <c r="AC18" s="267"/>
      <c r="AD18" s="268"/>
      <c r="AE18" s="266"/>
      <c r="AF18" s="267"/>
      <c r="AG18" s="268"/>
      <c r="AH18" s="266"/>
      <c r="AI18" s="267"/>
      <c r="AJ18" s="268"/>
      <c r="AK18" s="266"/>
      <c r="AL18" s="267"/>
      <c r="AM18" s="268"/>
      <c r="AN18" s="269"/>
      <c r="AO18" s="267"/>
      <c r="AP18" s="267"/>
      <c r="AQ18" s="270"/>
      <c r="AR18" s="430"/>
      <c r="AS18" s="264"/>
      <c r="AT18" s="271"/>
    </row>
    <row r="19" spans="1:46" s="272" customFormat="1" ht="46.5" customHeight="1" x14ac:dyDescent="0.2">
      <c r="A19" s="592" t="s">
        <v>127</v>
      </c>
      <c r="B19" s="593"/>
      <c r="C19" s="594"/>
      <c r="D19" s="273"/>
      <c r="E19" s="274"/>
      <c r="F19" s="275"/>
      <c r="G19" s="273"/>
      <c r="H19" s="274"/>
      <c r="I19" s="275"/>
      <c r="J19" s="273"/>
      <c r="K19" s="274"/>
      <c r="L19" s="275"/>
      <c r="M19" s="273"/>
      <c r="N19" s="274"/>
      <c r="O19" s="275"/>
      <c r="P19" s="273"/>
      <c r="Q19" s="274"/>
      <c r="R19" s="275"/>
      <c r="S19" s="273"/>
      <c r="T19" s="274"/>
      <c r="U19" s="275"/>
      <c r="V19" s="273"/>
      <c r="W19" s="274"/>
      <c r="X19" s="275"/>
      <c r="Y19" s="273"/>
      <c r="Z19" s="274"/>
      <c r="AA19" s="275"/>
      <c r="AB19" s="273"/>
      <c r="AC19" s="274"/>
      <c r="AD19" s="275"/>
      <c r="AE19" s="273"/>
      <c r="AF19" s="274"/>
      <c r="AG19" s="275"/>
      <c r="AH19" s="273"/>
      <c r="AI19" s="274"/>
      <c r="AJ19" s="275"/>
      <c r="AK19" s="273"/>
      <c r="AL19" s="274"/>
      <c r="AM19" s="275"/>
      <c r="AN19" s="276"/>
      <c r="AO19" s="274"/>
      <c r="AP19" s="274"/>
      <c r="AQ19" s="277"/>
      <c r="AR19" s="278"/>
      <c r="AS19" s="279"/>
      <c r="AT19" s="271"/>
    </row>
    <row r="20" spans="1:46" s="287" customFormat="1" ht="13.5" thickBot="1" x14ac:dyDescent="0.25">
      <c r="A20" s="595"/>
      <c r="B20" s="595"/>
      <c r="C20" s="596"/>
      <c r="D20" s="280"/>
      <c r="E20" s="281"/>
      <c r="F20" s="282"/>
      <c r="G20" s="280"/>
      <c r="H20" s="281"/>
      <c r="I20" s="282"/>
      <c r="J20" s="280"/>
      <c r="K20" s="281"/>
      <c r="L20" s="282"/>
      <c r="M20" s="280"/>
      <c r="N20" s="281"/>
      <c r="O20" s="282"/>
      <c r="P20" s="280"/>
      <c r="Q20" s="281"/>
      <c r="R20" s="282"/>
      <c r="S20" s="280"/>
      <c r="T20" s="281"/>
      <c r="U20" s="282"/>
      <c r="V20" s="280"/>
      <c r="W20" s="281"/>
      <c r="X20" s="282"/>
      <c r="Y20" s="280"/>
      <c r="Z20" s="281"/>
      <c r="AA20" s="282"/>
      <c r="AB20" s="280"/>
      <c r="AC20" s="281"/>
      <c r="AD20" s="282"/>
      <c r="AE20" s="280"/>
      <c r="AF20" s="281"/>
      <c r="AG20" s="282"/>
      <c r="AH20" s="280"/>
      <c r="AI20" s="281"/>
      <c r="AJ20" s="282"/>
      <c r="AK20" s="280"/>
      <c r="AL20" s="281"/>
      <c r="AM20" s="282"/>
      <c r="AN20" s="283"/>
      <c r="AO20" s="283"/>
      <c r="AP20" s="283"/>
      <c r="AQ20" s="284"/>
      <c r="AR20" s="285"/>
      <c r="AS20" s="286"/>
      <c r="AT20" s="221"/>
    </row>
    <row r="21" spans="1:46" ht="13.5" thickTop="1" x14ac:dyDescent="0.2">
      <c r="A21" s="230"/>
      <c r="B21" s="231"/>
      <c r="C21" s="289"/>
      <c r="D21" s="232"/>
      <c r="E21" s="233"/>
      <c r="F21" s="234"/>
      <c r="G21" s="232"/>
      <c r="H21" s="233"/>
      <c r="I21" s="234"/>
      <c r="J21" s="232"/>
      <c r="K21" s="233"/>
      <c r="L21" s="234"/>
      <c r="M21" s="232"/>
      <c r="N21" s="233"/>
      <c r="O21" s="234"/>
      <c r="P21" s="232"/>
      <c r="Q21" s="233"/>
      <c r="R21" s="234"/>
      <c r="S21" s="232"/>
      <c r="T21" s="233"/>
      <c r="U21" s="234"/>
      <c r="V21" s="232"/>
      <c r="W21" s="233"/>
      <c r="X21" s="234"/>
      <c r="Y21" s="232"/>
      <c r="Z21" s="233"/>
      <c r="AA21" s="234"/>
      <c r="AB21" s="232"/>
      <c r="AC21" s="233"/>
      <c r="AD21" s="234"/>
      <c r="AE21" s="232"/>
      <c r="AF21" s="233"/>
      <c r="AG21" s="234"/>
      <c r="AH21" s="232"/>
      <c r="AI21" s="233"/>
      <c r="AJ21" s="234"/>
      <c r="AK21" s="232"/>
      <c r="AL21" s="233"/>
      <c r="AM21" s="234"/>
      <c r="AN21" s="290"/>
      <c r="AO21" s="291"/>
      <c r="AP21" s="291"/>
      <c r="AQ21" s="292"/>
      <c r="AR21" s="431"/>
      <c r="AS21" s="230"/>
    </row>
    <row r="22" spans="1:46" s="386" customFormat="1" x14ac:dyDescent="0.2">
      <c r="A22" s="379" t="s">
        <v>214</v>
      </c>
      <c r="B22" s="380">
        <f>ROUND(33408*1.025,2)</f>
        <v>34243.199999999997</v>
      </c>
      <c r="C22" s="380"/>
      <c r="D22" s="381"/>
      <c r="E22" s="382"/>
      <c r="F22" s="383">
        <f>$B22/26*1.3</f>
        <v>1712.1599999999999</v>
      </c>
      <c r="G22" s="381"/>
      <c r="H22" s="382"/>
      <c r="I22" s="383">
        <f t="shared" ref="I22" si="73">$B22/26*2</f>
        <v>2634.0923076923073</v>
      </c>
      <c r="J22" s="381"/>
      <c r="K22" s="382"/>
      <c r="L22" s="383">
        <f t="shared" ref="L22" si="74">$B22/26*2</f>
        <v>2634.0923076923073</v>
      </c>
      <c r="M22" s="381"/>
      <c r="N22" s="382"/>
      <c r="O22" s="383">
        <f>$B22/26*3</f>
        <v>3951.1384615384609</v>
      </c>
      <c r="P22" s="381"/>
      <c r="Q22" s="382"/>
      <c r="R22" s="383">
        <f t="shared" ref="R22" si="75">$B22/26*2</f>
        <v>2634.0923076923073</v>
      </c>
      <c r="S22" s="381"/>
      <c r="T22" s="382"/>
      <c r="U22" s="383">
        <f t="shared" ref="U22" si="76">$B22/26*2</f>
        <v>2634.0923076923073</v>
      </c>
      <c r="V22" s="381"/>
      <c r="W22" s="382"/>
      <c r="X22" s="383">
        <f t="shared" ref="X22" si="77">$B22/26*2</f>
        <v>2634.0923076923073</v>
      </c>
      <c r="Y22" s="381"/>
      <c r="Z22" s="382"/>
      <c r="AA22" s="383">
        <f t="shared" ref="AA22" si="78">$B22/26*2</f>
        <v>2634.0923076923073</v>
      </c>
      <c r="AB22" s="381"/>
      <c r="AC22" s="382"/>
      <c r="AD22" s="383">
        <f t="shared" ref="AD22" si="79">$B22/26*2</f>
        <v>2634.0923076923073</v>
      </c>
      <c r="AE22" s="381"/>
      <c r="AF22" s="382"/>
      <c r="AG22" s="383">
        <f>$B22/26*3</f>
        <v>3951.1384615384609</v>
      </c>
      <c r="AH22" s="381"/>
      <c r="AI22" s="382"/>
      <c r="AJ22" s="383">
        <f t="shared" ref="AJ22" si="80">$B22/26*2</f>
        <v>2634.0923076923073</v>
      </c>
      <c r="AK22" s="381"/>
      <c r="AL22" s="382"/>
      <c r="AM22" s="383">
        <f>$B22/26*3</f>
        <v>3951.1384615384609</v>
      </c>
      <c r="AN22" s="384"/>
      <c r="AO22" s="382"/>
      <c r="AP22" s="382"/>
      <c r="AQ22" s="385"/>
      <c r="AR22" s="432"/>
      <c r="AS22" s="379" t="s">
        <v>214</v>
      </c>
    </row>
    <row r="23" spans="1:46" s="386" customFormat="1" x14ac:dyDescent="0.2">
      <c r="A23" s="387" t="s">
        <v>128</v>
      </c>
      <c r="B23" s="388"/>
      <c r="C23" s="389" t="s">
        <v>129</v>
      </c>
      <c r="D23" s="412">
        <v>0.5</v>
      </c>
      <c r="E23" s="410">
        <f t="shared" ref="E23:E24" si="81">ROUND(D23*F$22,2)</f>
        <v>856.08</v>
      </c>
      <c r="F23" s="406" t="s">
        <v>258</v>
      </c>
      <c r="G23" s="412">
        <f>D23</f>
        <v>0.5</v>
      </c>
      <c r="H23" s="410">
        <f>ROUND(G23*I$22,2)</f>
        <v>1317.05</v>
      </c>
      <c r="I23" s="406" t="s">
        <v>258</v>
      </c>
      <c r="J23" s="412">
        <f>G23</f>
        <v>0.5</v>
      </c>
      <c r="K23" s="410">
        <f>ROUND(J23*L$22,2)</f>
        <v>1317.05</v>
      </c>
      <c r="L23" s="406" t="s">
        <v>258</v>
      </c>
      <c r="M23" s="412">
        <f>J23</f>
        <v>0.5</v>
      </c>
      <c r="N23" s="410">
        <f>ROUND(M23*O$22,2)</f>
        <v>1975.57</v>
      </c>
      <c r="O23" s="406" t="s">
        <v>258</v>
      </c>
      <c r="P23" s="412">
        <f>M23</f>
        <v>0.5</v>
      </c>
      <c r="Q23" s="410">
        <f>ROUND(P23*R$22,2)</f>
        <v>1317.05</v>
      </c>
      <c r="R23" s="406" t="s">
        <v>258</v>
      </c>
      <c r="S23" s="412">
        <f>P23</f>
        <v>0.5</v>
      </c>
      <c r="T23" s="410">
        <f>ROUND(S23*U$22,2)</f>
        <v>1317.05</v>
      </c>
      <c r="U23" s="406" t="s">
        <v>258</v>
      </c>
      <c r="V23" s="412">
        <f>S23</f>
        <v>0.5</v>
      </c>
      <c r="W23" s="410">
        <f t="shared" ref="W23:W24" si="82">ROUND(V23*X$22,2)</f>
        <v>1317.05</v>
      </c>
      <c r="X23" s="406" t="s">
        <v>258</v>
      </c>
      <c r="Y23" s="412">
        <f>V23</f>
        <v>0.5</v>
      </c>
      <c r="Z23" s="410">
        <f t="shared" ref="Z23:Z24" si="83">ROUND(Y23*AA$22,2)</f>
        <v>1317.05</v>
      </c>
      <c r="AA23" s="406" t="s">
        <v>258</v>
      </c>
      <c r="AB23" s="412">
        <f>Y23</f>
        <v>0.5</v>
      </c>
      <c r="AC23" s="410">
        <f t="shared" ref="AC23:AC24" si="84">ROUND(AB23*AD$22,2)</f>
        <v>1317.05</v>
      </c>
      <c r="AD23" s="406" t="s">
        <v>258</v>
      </c>
      <c r="AE23" s="412">
        <f>AB23</f>
        <v>0.5</v>
      </c>
      <c r="AF23" s="410">
        <f t="shared" ref="AF23:AF24" si="85">ROUND(AE23*AG$22,2)</f>
        <v>1975.57</v>
      </c>
      <c r="AG23" s="406" t="s">
        <v>258</v>
      </c>
      <c r="AH23" s="412">
        <f>AE23</f>
        <v>0.5</v>
      </c>
      <c r="AI23" s="410">
        <f t="shared" ref="AI23:AI24" si="86">ROUND(AH23*AJ$22,2)</f>
        <v>1317.05</v>
      </c>
      <c r="AJ23" s="406" t="s">
        <v>258</v>
      </c>
      <c r="AK23" s="412">
        <f>AH23</f>
        <v>0.5</v>
      </c>
      <c r="AL23" s="410">
        <f t="shared" ref="AL23:AL24" si="87">ROUND(AK23*AM$22,2)</f>
        <v>1975.57</v>
      </c>
      <c r="AM23" s="406" t="s">
        <v>258</v>
      </c>
      <c r="AN23" s="396">
        <f t="shared" ref="AN23" si="88">(AK23+AH23+AE23+AB23+Y23+V23+S23+P23+M23+J23+G23+D23)/12</f>
        <v>0.5</v>
      </c>
      <c r="AO23" s="391">
        <f t="shared" ref="AO23" si="89">AL23+AI23+AF23+AC23+Z23+W23+T23+Q23+N23+K23+H23+E23</f>
        <v>17319.189999999999</v>
      </c>
      <c r="AP23" s="391">
        <f>Endow!AK15</f>
        <v>17319.189999999999</v>
      </c>
      <c r="AQ23" s="392">
        <f t="shared" ref="AQ23" si="90">AP23-AO23</f>
        <v>0</v>
      </c>
      <c r="AR23" s="433" t="s">
        <v>129</v>
      </c>
      <c r="AS23" s="387" t="s">
        <v>128</v>
      </c>
    </row>
    <row r="24" spans="1:46" s="386" customFormat="1" x14ac:dyDescent="0.2">
      <c r="A24" s="388"/>
      <c r="B24" s="393"/>
      <c r="C24" s="394" t="s">
        <v>134</v>
      </c>
      <c r="D24" s="412">
        <v>0.5</v>
      </c>
      <c r="E24" s="410">
        <f t="shared" si="81"/>
        <v>856.08</v>
      </c>
      <c r="F24" s="406" t="s">
        <v>256</v>
      </c>
      <c r="G24" s="412">
        <f>D24</f>
        <v>0.5</v>
      </c>
      <c r="H24" s="410">
        <f>ROUND(G24*I$22,2)</f>
        <v>1317.05</v>
      </c>
      <c r="I24" s="406" t="s">
        <v>256</v>
      </c>
      <c r="J24" s="412">
        <f>G24</f>
        <v>0.5</v>
      </c>
      <c r="K24" s="410">
        <f>ROUND(J24*L$22,2)</f>
        <v>1317.05</v>
      </c>
      <c r="L24" s="406" t="s">
        <v>256</v>
      </c>
      <c r="M24" s="412">
        <f>J24</f>
        <v>0.5</v>
      </c>
      <c r="N24" s="410">
        <f>ROUND(M24*O$22,2)</f>
        <v>1975.57</v>
      </c>
      <c r="O24" s="406" t="s">
        <v>256</v>
      </c>
      <c r="P24" s="412">
        <f>M24</f>
        <v>0.5</v>
      </c>
      <c r="Q24" s="410">
        <f>ROUND(P24*R$22,2)</f>
        <v>1317.05</v>
      </c>
      <c r="R24" s="406" t="s">
        <v>256</v>
      </c>
      <c r="S24" s="412">
        <f>P24</f>
        <v>0.5</v>
      </c>
      <c r="T24" s="410">
        <f>ROUND(S24*U$22,2)</f>
        <v>1317.05</v>
      </c>
      <c r="U24" s="406" t="s">
        <v>256</v>
      </c>
      <c r="V24" s="412">
        <f>S24</f>
        <v>0.5</v>
      </c>
      <c r="W24" s="410">
        <f t="shared" si="82"/>
        <v>1317.05</v>
      </c>
      <c r="X24" s="406" t="s">
        <v>256</v>
      </c>
      <c r="Y24" s="412">
        <f>V24</f>
        <v>0.5</v>
      </c>
      <c r="Z24" s="410">
        <f t="shared" si="83"/>
        <v>1317.05</v>
      </c>
      <c r="AA24" s="406" t="s">
        <v>256</v>
      </c>
      <c r="AB24" s="412">
        <f>Y24</f>
        <v>0.5</v>
      </c>
      <c r="AC24" s="410">
        <f t="shared" si="84"/>
        <v>1317.05</v>
      </c>
      <c r="AD24" s="406" t="s">
        <v>256</v>
      </c>
      <c r="AE24" s="412">
        <f>AB24</f>
        <v>0.5</v>
      </c>
      <c r="AF24" s="410">
        <f t="shared" si="85"/>
        <v>1975.57</v>
      </c>
      <c r="AG24" s="406" t="s">
        <v>256</v>
      </c>
      <c r="AH24" s="412">
        <f>AE24</f>
        <v>0.5</v>
      </c>
      <c r="AI24" s="410">
        <f t="shared" si="86"/>
        <v>1317.05</v>
      </c>
      <c r="AJ24" s="406" t="s">
        <v>256</v>
      </c>
      <c r="AK24" s="412">
        <f>AH24</f>
        <v>0.5</v>
      </c>
      <c r="AL24" s="410">
        <f t="shared" si="87"/>
        <v>1975.57</v>
      </c>
      <c r="AM24" s="406" t="s">
        <v>256</v>
      </c>
      <c r="AN24" s="396">
        <f>(AK24+AH24+AE24+AB24+Y24+V24+S24+P24+M24+J24+G24+D24)/12</f>
        <v>0.5</v>
      </c>
      <c r="AO24" s="391">
        <f>AL24+AI24+AF24+AC24+Z24+W24+T24+Q24+N24+K24+H24+E24</f>
        <v>17319.189999999999</v>
      </c>
      <c r="AP24" s="391">
        <f>Operating!AK18</f>
        <v>17319.189999999999</v>
      </c>
      <c r="AQ24" s="392">
        <f>AP24-AO24</f>
        <v>0</v>
      </c>
      <c r="AR24" s="434" t="s">
        <v>134</v>
      </c>
      <c r="AS24" s="388"/>
    </row>
    <row r="25" spans="1:46" s="386" customFormat="1" x14ac:dyDescent="0.2">
      <c r="A25" s="388"/>
      <c r="B25" s="393"/>
      <c r="C25" s="394"/>
      <c r="D25" s="395"/>
      <c r="E25" s="410"/>
      <c r="F25" s="406"/>
      <c r="G25" s="395"/>
      <c r="H25" s="410"/>
      <c r="I25" s="406"/>
      <c r="J25" s="395"/>
      <c r="K25" s="410"/>
      <c r="L25" s="406"/>
      <c r="M25" s="395"/>
      <c r="N25" s="410"/>
      <c r="O25" s="406"/>
      <c r="P25" s="395"/>
      <c r="Q25" s="410"/>
      <c r="R25" s="406"/>
      <c r="S25" s="395"/>
      <c r="T25" s="410"/>
      <c r="U25" s="406"/>
      <c r="V25" s="395"/>
      <c r="W25" s="410"/>
      <c r="X25" s="406"/>
      <c r="Y25" s="395"/>
      <c r="Z25" s="410"/>
      <c r="AA25" s="406"/>
      <c r="AB25" s="395"/>
      <c r="AC25" s="410"/>
      <c r="AD25" s="406"/>
      <c r="AE25" s="395"/>
      <c r="AF25" s="410"/>
      <c r="AG25" s="406"/>
      <c r="AH25" s="395"/>
      <c r="AI25" s="410"/>
      <c r="AJ25" s="406"/>
      <c r="AK25" s="395"/>
      <c r="AL25" s="410"/>
      <c r="AM25" s="406"/>
      <c r="AN25" s="396"/>
      <c r="AO25" s="391"/>
      <c r="AP25" s="391"/>
      <c r="AQ25" s="392"/>
      <c r="AR25" s="434"/>
      <c r="AS25" s="388"/>
    </row>
    <row r="26" spans="1:46" s="404" customFormat="1" x14ac:dyDescent="0.2">
      <c r="A26" s="379"/>
      <c r="B26" s="380"/>
      <c r="C26" s="397" t="s">
        <v>134</v>
      </c>
      <c r="D26" s="411" t="s">
        <v>130</v>
      </c>
      <c r="E26" s="402">
        <v>3500</v>
      </c>
      <c r="F26" s="399" t="s">
        <v>256</v>
      </c>
      <c r="G26" s="411" t="s">
        <v>130</v>
      </c>
      <c r="H26" s="402"/>
      <c r="I26" s="399" t="s">
        <v>256</v>
      </c>
      <c r="J26" s="411" t="s">
        <v>130</v>
      </c>
      <c r="K26" s="402"/>
      <c r="L26" s="399" t="s">
        <v>256</v>
      </c>
      <c r="M26" s="411" t="s">
        <v>130</v>
      </c>
      <c r="N26" s="402"/>
      <c r="O26" s="399" t="s">
        <v>256</v>
      </c>
      <c r="P26" s="411" t="s">
        <v>130</v>
      </c>
      <c r="Q26" s="402"/>
      <c r="R26" s="399" t="s">
        <v>256</v>
      </c>
      <c r="S26" s="411" t="s">
        <v>130</v>
      </c>
      <c r="T26" s="402"/>
      <c r="U26" s="399" t="s">
        <v>256</v>
      </c>
      <c r="V26" s="411" t="s">
        <v>130</v>
      </c>
      <c r="W26" s="402"/>
      <c r="X26" s="399" t="s">
        <v>256</v>
      </c>
      <c r="Y26" s="411" t="s">
        <v>130</v>
      </c>
      <c r="Z26" s="402"/>
      <c r="AA26" s="399" t="s">
        <v>256</v>
      </c>
      <c r="AB26" s="411" t="s">
        <v>130</v>
      </c>
      <c r="AC26" s="402"/>
      <c r="AD26" s="399" t="s">
        <v>256</v>
      </c>
      <c r="AE26" s="411" t="s">
        <v>130</v>
      </c>
      <c r="AF26" s="402"/>
      <c r="AG26" s="399" t="s">
        <v>256</v>
      </c>
      <c r="AH26" s="411" t="s">
        <v>130</v>
      </c>
      <c r="AI26" s="402"/>
      <c r="AJ26" s="399" t="s">
        <v>256</v>
      </c>
      <c r="AK26" s="411" t="s">
        <v>130</v>
      </c>
      <c r="AL26" s="402"/>
      <c r="AM26" s="399" t="s">
        <v>256</v>
      </c>
      <c r="AN26" s="401"/>
      <c r="AO26" s="402">
        <f>AL26+AI26+AF26+AC26+Z26+W26+T26+Q26+N26+K26+H26+E26</f>
        <v>3500</v>
      </c>
      <c r="AP26" s="402"/>
      <c r="AQ26" s="403"/>
      <c r="AR26" s="435" t="s">
        <v>134</v>
      </c>
      <c r="AS26" s="379"/>
    </row>
    <row r="27" spans="1:46" s="386" customFormat="1" x14ac:dyDescent="0.2">
      <c r="A27" s="388"/>
      <c r="B27" s="388"/>
      <c r="C27" s="388"/>
      <c r="D27" s="405"/>
      <c r="E27" s="391"/>
      <c r="F27" s="406"/>
      <c r="G27" s="405"/>
      <c r="H27" s="391"/>
      <c r="I27" s="406"/>
      <c r="J27" s="405"/>
      <c r="K27" s="391"/>
      <c r="L27" s="406"/>
      <c r="M27" s="405"/>
      <c r="N27" s="391"/>
      <c r="O27" s="406"/>
      <c r="P27" s="405"/>
      <c r="Q27" s="391"/>
      <c r="R27" s="406"/>
      <c r="S27" s="405"/>
      <c r="T27" s="391"/>
      <c r="U27" s="406"/>
      <c r="V27" s="405"/>
      <c r="W27" s="391"/>
      <c r="X27" s="406"/>
      <c r="Y27" s="405"/>
      <c r="Z27" s="391"/>
      <c r="AA27" s="406"/>
      <c r="AB27" s="405"/>
      <c r="AC27" s="391"/>
      <c r="AD27" s="406"/>
      <c r="AE27" s="405"/>
      <c r="AF27" s="391"/>
      <c r="AG27" s="406"/>
      <c r="AH27" s="405"/>
      <c r="AI27" s="391"/>
      <c r="AJ27" s="406"/>
      <c r="AK27" s="405"/>
      <c r="AL27" s="391"/>
      <c r="AM27" s="406"/>
      <c r="AN27" s="390"/>
      <c r="AO27" s="391"/>
      <c r="AP27" s="391"/>
      <c r="AQ27" s="392"/>
      <c r="AR27" s="433"/>
      <c r="AS27" s="388"/>
    </row>
    <row r="28" spans="1:46" s="404" customFormat="1" x14ac:dyDescent="0.2">
      <c r="A28" s="379"/>
      <c r="B28" s="379"/>
      <c r="C28" s="379"/>
      <c r="D28" s="398">
        <f>SUM(D23:D27)</f>
        <v>1</v>
      </c>
      <c r="E28" s="407"/>
      <c r="F28" s="408"/>
      <c r="G28" s="398">
        <f>SUM(G23:G27)</f>
        <v>1</v>
      </c>
      <c r="H28" s="407"/>
      <c r="I28" s="408"/>
      <c r="J28" s="398">
        <f>SUM(J23:J27)</f>
        <v>1</v>
      </c>
      <c r="K28" s="407"/>
      <c r="L28" s="408"/>
      <c r="M28" s="398">
        <f>SUM(M23:M27)</f>
        <v>1</v>
      </c>
      <c r="N28" s="407"/>
      <c r="O28" s="408"/>
      <c r="P28" s="398">
        <f>SUM(P23:P27)</f>
        <v>1</v>
      </c>
      <c r="Q28" s="407"/>
      <c r="R28" s="408"/>
      <c r="S28" s="398">
        <f>SUM(S23:S27)</f>
        <v>1</v>
      </c>
      <c r="T28" s="407"/>
      <c r="U28" s="408"/>
      <c r="V28" s="398">
        <f>SUM(V23:V27)</f>
        <v>1</v>
      </c>
      <c r="W28" s="407"/>
      <c r="X28" s="408"/>
      <c r="Y28" s="398">
        <f>SUM(Y23:Y27)</f>
        <v>1</v>
      </c>
      <c r="Z28" s="407"/>
      <c r="AA28" s="408"/>
      <c r="AB28" s="398">
        <f>SUM(AB23:AB27)</f>
        <v>1</v>
      </c>
      <c r="AC28" s="407"/>
      <c r="AD28" s="408"/>
      <c r="AE28" s="398">
        <f>SUM(AE23:AE27)</f>
        <v>1</v>
      </c>
      <c r="AF28" s="407"/>
      <c r="AG28" s="408"/>
      <c r="AH28" s="398">
        <f>SUM(AH23:AH27)</f>
        <v>1</v>
      </c>
      <c r="AI28" s="407"/>
      <c r="AJ28" s="408"/>
      <c r="AK28" s="398">
        <f>SUM(AK23:AK27)</f>
        <v>1</v>
      </c>
      <c r="AL28" s="407"/>
      <c r="AM28" s="408"/>
      <c r="AN28" s="400">
        <f>SUM(AN23:AN27)</f>
        <v>1</v>
      </c>
      <c r="AO28" s="407">
        <f>SUM(AO22:AO27)</f>
        <v>38138.379999999997</v>
      </c>
      <c r="AP28" s="407"/>
      <c r="AQ28" s="409"/>
      <c r="AR28" s="436"/>
      <c r="AS28" s="379"/>
    </row>
    <row r="29" spans="1:46" x14ac:dyDescent="0.2">
      <c r="A29" s="230"/>
      <c r="B29" s="231"/>
      <c r="C29" s="289"/>
      <c r="D29" s="232"/>
      <c r="E29" s="233"/>
      <c r="F29" s="234"/>
      <c r="G29" s="232"/>
      <c r="H29" s="233"/>
      <c r="I29" s="234"/>
      <c r="J29" s="232"/>
      <c r="K29" s="233"/>
      <c r="L29" s="234"/>
      <c r="M29" s="232"/>
      <c r="N29" s="233"/>
      <c r="O29" s="234"/>
      <c r="P29" s="232"/>
      <c r="Q29" s="233"/>
      <c r="R29" s="234"/>
      <c r="S29" s="232"/>
      <c r="T29" s="233"/>
      <c r="U29" s="234"/>
      <c r="V29" s="232"/>
      <c r="W29" s="233"/>
      <c r="X29" s="234"/>
      <c r="Y29" s="232"/>
      <c r="Z29" s="233"/>
      <c r="AA29" s="234"/>
      <c r="AB29" s="232"/>
      <c r="AC29" s="233"/>
      <c r="AD29" s="234"/>
      <c r="AE29" s="232"/>
      <c r="AF29" s="233"/>
      <c r="AG29" s="234"/>
      <c r="AH29" s="232"/>
      <c r="AI29" s="233"/>
      <c r="AJ29" s="234"/>
      <c r="AK29" s="232"/>
      <c r="AL29" s="233"/>
      <c r="AM29" s="234"/>
      <c r="AN29" s="235"/>
      <c r="AO29" s="233"/>
      <c r="AP29" s="233"/>
      <c r="AQ29" s="236"/>
      <c r="AR29" s="431"/>
      <c r="AS29" s="230"/>
    </row>
    <row r="31" spans="1:46" x14ac:dyDescent="0.2">
      <c r="O31" s="293"/>
    </row>
  </sheetData>
  <mergeCells count="1">
    <mergeCell ref="A19:C20"/>
  </mergeCells>
  <printOptions horizontalCentered="1"/>
  <pageMargins left="0.25" right="0.25" top="1.25" bottom="0.75" header="0.55000000000000004" footer="0.3"/>
  <pageSetup paperSize="5" scale="95" orientation="landscape" verticalDpi="1200" r:id="rId1"/>
  <headerFooter>
    <oddHeader>&amp;C&amp;"Arial,Bold"&amp;14FY12 STAFF SALARY DISTRIBUTION</oddHeader>
    <oddFooter>&amp;RPage &amp;P of &amp;N</oddFooter>
  </headerFooter>
  <colBreaks count="4" manualBreakCount="4">
    <brk id="12" max="28" man="1"/>
    <brk id="21" max="28" man="1"/>
    <brk id="30" max="28" man="1"/>
    <brk id="39" max="28"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L42"/>
  <sheetViews>
    <sheetView topLeftCell="C1" zoomScaleNormal="100" workbookViewId="0">
      <selection activeCell="M4" sqref="M4"/>
    </sheetView>
  </sheetViews>
  <sheetFormatPr defaultRowHeight="12.75" x14ac:dyDescent="0.2"/>
  <cols>
    <col min="2" max="2" width="11.140625" style="150" customWidth="1"/>
    <col min="3" max="3" width="36.42578125" style="213" customWidth="1"/>
    <col min="4" max="4" width="13.140625" style="155" customWidth="1"/>
    <col min="5" max="6" width="0.85546875" style="155" customWidth="1"/>
    <col min="7" max="7" width="13.140625" style="155" customWidth="1"/>
    <col min="8" max="9" width="0.85546875" style="155" customWidth="1"/>
    <col min="10" max="10" width="13.140625" style="155" customWidth="1"/>
    <col min="11" max="12" width="0.85546875" style="155" customWidth="1"/>
    <col min="13" max="13" width="13.140625" style="170" customWidth="1"/>
    <col min="14" max="15" width="0.85546875" style="155" customWidth="1"/>
    <col min="16" max="16" width="13.140625" style="155" customWidth="1"/>
    <col min="17" max="18" width="0.85546875" style="155" customWidth="1"/>
    <col min="19" max="19" width="13.140625" style="155" customWidth="1"/>
    <col min="20" max="21" width="0.85546875" style="155" customWidth="1"/>
    <col min="22" max="22" width="13.140625" style="155" customWidth="1"/>
    <col min="23" max="24" width="0.85546875" style="155" customWidth="1"/>
    <col min="25" max="25" width="13.140625" style="155" customWidth="1"/>
    <col min="26" max="26" width="0.85546875" style="155" customWidth="1"/>
    <col min="27" max="27" width="0.7109375" style="155" customWidth="1"/>
    <col min="28" max="28" width="13" style="155" customWidth="1"/>
    <col min="29" max="29" width="1" style="155" customWidth="1"/>
    <col min="30" max="30" width="1.140625" style="155" customWidth="1"/>
    <col min="31" max="31" width="13.7109375" style="155" customWidth="1"/>
    <col min="32" max="32" width="1" style="155" customWidth="1"/>
    <col min="33" max="33" width="1.140625" style="155" customWidth="1"/>
    <col min="34" max="34" width="13.7109375" style="155" customWidth="1"/>
    <col min="35" max="35" width="1" style="155" customWidth="1"/>
    <col min="36" max="36" width="1.140625" style="155" customWidth="1"/>
    <col min="37" max="37" width="13.7109375" style="155" customWidth="1"/>
    <col min="38" max="38" width="16.140625" style="155" customWidth="1"/>
  </cols>
  <sheetData>
    <row r="1" spans="1:38" s="149" customFormat="1" x14ac:dyDescent="0.2">
      <c r="A1" s="446"/>
      <c r="B1" s="447"/>
      <c r="C1" s="448" t="s">
        <v>65</v>
      </c>
      <c r="D1" s="449" t="s">
        <v>66</v>
      </c>
      <c r="E1" s="450"/>
      <c r="F1" s="450"/>
      <c r="G1" s="451" t="s">
        <v>67</v>
      </c>
      <c r="H1" s="450"/>
      <c r="I1" s="450"/>
      <c r="J1" s="451" t="s">
        <v>68</v>
      </c>
      <c r="K1" s="450"/>
      <c r="L1" s="450"/>
      <c r="M1" s="451" t="s">
        <v>69</v>
      </c>
      <c r="N1" s="450"/>
      <c r="O1" s="450"/>
      <c r="P1" s="451" t="s">
        <v>70</v>
      </c>
      <c r="Q1" s="450"/>
      <c r="R1" s="450"/>
      <c r="S1" s="452" t="s">
        <v>71</v>
      </c>
      <c r="T1" s="450"/>
      <c r="U1" s="450"/>
      <c r="V1" s="451" t="s">
        <v>72</v>
      </c>
      <c r="W1" s="450"/>
      <c r="X1" s="450"/>
      <c r="Y1" s="451" t="s">
        <v>73</v>
      </c>
      <c r="Z1" s="450"/>
      <c r="AA1" s="450"/>
      <c r="AB1" s="451" t="s">
        <v>74</v>
      </c>
      <c r="AC1" s="450"/>
      <c r="AD1" s="450"/>
      <c r="AE1" s="451" t="s">
        <v>75</v>
      </c>
      <c r="AF1" s="450"/>
      <c r="AG1" s="450"/>
      <c r="AH1" s="451" t="s">
        <v>76</v>
      </c>
      <c r="AI1" s="450"/>
      <c r="AJ1" s="450"/>
      <c r="AK1" s="451" t="s">
        <v>77</v>
      </c>
      <c r="AL1" s="148" t="s">
        <v>78</v>
      </c>
    </row>
    <row r="2" spans="1:38" s="155" customFormat="1" ht="45" customHeight="1" x14ac:dyDescent="0.2">
      <c r="A2" s="453"/>
      <c r="B2" s="447"/>
      <c r="C2" s="454" t="s">
        <v>301</v>
      </c>
      <c r="D2" s="455"/>
      <c r="E2" s="450"/>
      <c r="F2" s="450"/>
      <c r="G2" s="455"/>
      <c r="H2" s="450"/>
      <c r="I2" s="450"/>
      <c r="J2" s="455"/>
      <c r="K2" s="450"/>
      <c r="L2" s="450"/>
      <c r="M2" s="455"/>
      <c r="N2" s="456"/>
      <c r="O2" s="456"/>
      <c r="P2" s="455"/>
      <c r="Q2" s="450"/>
      <c r="R2" s="450"/>
      <c r="S2" s="455"/>
      <c r="T2" s="453"/>
      <c r="U2" s="453"/>
      <c r="V2" s="457"/>
      <c r="W2" s="453"/>
      <c r="X2" s="453"/>
      <c r="Y2" s="457"/>
      <c r="Z2" s="457"/>
      <c r="AA2" s="457"/>
      <c r="AB2" s="457"/>
      <c r="AC2" s="457"/>
      <c r="AD2" s="457"/>
      <c r="AE2" s="457"/>
      <c r="AF2" s="457"/>
      <c r="AG2" s="457"/>
      <c r="AH2" s="457"/>
      <c r="AI2" s="457"/>
      <c r="AJ2" s="457"/>
      <c r="AK2" s="576" t="s">
        <v>304</v>
      </c>
      <c r="AL2" s="171"/>
    </row>
    <row r="3" spans="1:38" x14ac:dyDescent="0.2">
      <c r="A3" s="150" t="s">
        <v>92</v>
      </c>
      <c r="C3" s="188"/>
      <c r="D3" s="156">
        <v>0</v>
      </c>
      <c r="G3" s="156">
        <f>D32</f>
        <v>44737.18</v>
      </c>
      <c r="J3" s="156">
        <f>G32</f>
        <v>40936.68</v>
      </c>
      <c r="M3" s="158">
        <f>J32</f>
        <v>37136.18</v>
      </c>
      <c r="P3" s="156">
        <f>M32</f>
        <v>33335.68</v>
      </c>
      <c r="S3" s="156">
        <f>P32</f>
        <v>29535.18</v>
      </c>
      <c r="V3" s="156">
        <f>S32</f>
        <v>25734.68</v>
      </c>
      <c r="Y3" s="156">
        <f>V32</f>
        <v>21934.18</v>
      </c>
      <c r="Z3" s="156"/>
      <c r="AA3" s="156"/>
      <c r="AB3" s="156">
        <f>Y32</f>
        <v>18133.68</v>
      </c>
      <c r="AC3" s="156"/>
      <c r="AD3" s="156"/>
      <c r="AE3" s="156">
        <f>AB32</f>
        <v>14333.18</v>
      </c>
      <c r="AF3" s="156"/>
      <c r="AG3" s="156"/>
      <c r="AH3" s="156">
        <f>AE32</f>
        <v>10532.68</v>
      </c>
      <c r="AI3" s="156"/>
      <c r="AJ3" s="156"/>
      <c r="AK3" s="156">
        <f>AH32</f>
        <v>6732.18</v>
      </c>
      <c r="AL3" s="171"/>
    </row>
    <row r="4" spans="1:38" ht="6" customHeight="1" x14ac:dyDescent="0.2">
      <c r="A4" s="150"/>
      <c r="C4" s="188"/>
      <c r="D4" s="156"/>
      <c r="G4" s="156"/>
      <c r="J4" s="156"/>
      <c r="M4" s="161"/>
      <c r="P4" s="156"/>
      <c r="S4" s="156"/>
      <c r="V4" s="156"/>
      <c r="Y4" s="156"/>
      <c r="Z4" s="156"/>
      <c r="AA4" s="156"/>
      <c r="AB4" s="156"/>
      <c r="AC4" s="156"/>
      <c r="AD4" s="156"/>
      <c r="AE4" s="156"/>
      <c r="AF4" s="156"/>
      <c r="AG4" s="156"/>
      <c r="AH4" s="156"/>
      <c r="AI4" s="156"/>
      <c r="AJ4" s="156"/>
      <c r="AK4" s="156"/>
      <c r="AL4" s="171"/>
    </row>
    <row r="5" spans="1:38" ht="15.75" x14ac:dyDescent="0.25">
      <c r="A5" s="162" t="s">
        <v>93</v>
      </c>
      <c r="C5" s="151"/>
      <c r="D5" s="152"/>
      <c r="E5" s="147"/>
      <c r="F5" s="147"/>
      <c r="G5" s="152"/>
      <c r="H5" s="147"/>
      <c r="I5" s="147"/>
      <c r="J5" s="152"/>
      <c r="K5" s="147"/>
      <c r="L5" s="147"/>
      <c r="M5" s="153"/>
      <c r="N5" s="154"/>
      <c r="O5" s="154"/>
      <c r="P5" s="152"/>
      <c r="Q5" s="147"/>
      <c r="R5" s="147"/>
      <c r="S5" s="152"/>
      <c r="V5" s="156"/>
      <c r="Y5" s="163"/>
      <c r="Z5" s="163"/>
      <c r="AA5" s="163"/>
      <c r="AB5" s="156"/>
      <c r="AC5" s="156"/>
      <c r="AD5" s="156"/>
      <c r="AE5" s="156"/>
      <c r="AF5" s="156"/>
      <c r="AG5" s="156"/>
      <c r="AH5" s="156"/>
      <c r="AI5" s="156"/>
      <c r="AJ5" s="156"/>
      <c r="AK5" s="156"/>
      <c r="AL5" s="171"/>
    </row>
    <row r="6" spans="1:38" ht="15.75" x14ac:dyDescent="0.25">
      <c r="B6" s="162"/>
      <c r="C6" s="164" t="s">
        <v>111</v>
      </c>
      <c r="D6" s="152">
        <v>50000</v>
      </c>
      <c r="E6" s="147"/>
      <c r="F6" s="147"/>
      <c r="G6" s="152"/>
      <c r="H6" s="147"/>
      <c r="I6" s="147"/>
      <c r="J6" s="152"/>
      <c r="K6" s="147"/>
      <c r="L6" s="147"/>
      <c r="M6" s="153"/>
      <c r="N6" s="154"/>
      <c r="O6" s="154"/>
      <c r="P6" s="152"/>
      <c r="Q6" s="147"/>
      <c r="R6" s="147"/>
      <c r="S6" s="152"/>
      <c r="V6" s="156"/>
      <c r="Y6" s="163"/>
      <c r="Z6" s="163"/>
      <c r="AA6" s="163"/>
      <c r="AB6" s="156"/>
      <c r="AC6" s="156"/>
      <c r="AD6" s="156"/>
      <c r="AE6" s="156"/>
      <c r="AF6" s="156"/>
      <c r="AG6" s="156"/>
      <c r="AH6" s="156"/>
      <c r="AI6" s="156"/>
      <c r="AJ6" s="156"/>
      <c r="AK6" s="166"/>
      <c r="AL6" s="171"/>
    </row>
    <row r="7" spans="1:38" s="189" customFormat="1" ht="15" x14ac:dyDescent="0.2">
      <c r="B7" s="165"/>
      <c r="C7" s="164" t="s">
        <v>112</v>
      </c>
      <c r="D7" s="166"/>
      <c r="E7" s="149"/>
      <c r="F7" s="167"/>
      <c r="G7" s="166"/>
      <c r="H7" s="149"/>
      <c r="I7" s="167"/>
      <c r="J7" s="166"/>
      <c r="K7" s="149"/>
      <c r="L7" s="167"/>
      <c r="M7" s="168"/>
      <c r="N7" s="149"/>
      <c r="O7" s="167"/>
      <c r="P7" s="166"/>
      <c r="Q7" s="149"/>
      <c r="R7" s="167"/>
      <c r="S7" s="166"/>
      <c r="T7" s="149"/>
      <c r="U7" s="167"/>
      <c r="V7" s="166"/>
      <c r="W7" s="149"/>
      <c r="X7" s="167"/>
      <c r="Y7" s="167"/>
      <c r="Z7" s="167"/>
      <c r="AA7" s="167"/>
      <c r="AB7" s="166"/>
      <c r="AC7" s="166"/>
      <c r="AD7" s="166"/>
      <c r="AE7" s="166"/>
      <c r="AF7" s="166"/>
      <c r="AG7" s="166"/>
      <c r="AI7" s="166"/>
      <c r="AJ7" s="166"/>
      <c r="AK7" s="190">
        <v>-31.68</v>
      </c>
      <c r="AL7" s="191">
        <f>SUM(D6:AK7)</f>
        <v>49968.32</v>
      </c>
    </row>
    <row r="8" spans="1:38" ht="6" customHeight="1" x14ac:dyDescent="0.2">
      <c r="C8" s="188"/>
      <c r="D8" s="156"/>
      <c r="G8" s="156"/>
      <c r="J8" s="156"/>
      <c r="M8" s="161"/>
      <c r="P8" s="156"/>
      <c r="S8" s="156"/>
      <c r="V8" s="156"/>
      <c r="Y8" s="156"/>
      <c r="Z8" s="156"/>
      <c r="AA8" s="156"/>
      <c r="AB8" s="156"/>
      <c r="AC8" s="156"/>
      <c r="AD8" s="156"/>
      <c r="AE8" s="156"/>
      <c r="AF8" s="156"/>
      <c r="AG8" s="156"/>
      <c r="AH8" s="156"/>
      <c r="AI8" s="156"/>
      <c r="AJ8" s="156"/>
      <c r="AK8" s="156"/>
      <c r="AL8" s="171"/>
    </row>
    <row r="9" spans="1:38" ht="15.75" x14ac:dyDescent="0.25">
      <c r="A9" s="162" t="s">
        <v>94</v>
      </c>
      <c r="C9" s="192"/>
      <c r="F9" s="156"/>
      <c r="I9" s="156"/>
      <c r="L9" s="156"/>
      <c r="O9" s="156"/>
      <c r="R9" s="156"/>
      <c r="U9" s="156"/>
      <c r="X9" s="156"/>
      <c r="AL9" s="159"/>
    </row>
    <row r="10" spans="1:38" ht="15.75" x14ac:dyDescent="0.25">
      <c r="A10" s="146" t="s">
        <v>95</v>
      </c>
      <c r="C10" s="192"/>
      <c r="F10" s="156"/>
      <c r="I10" s="156"/>
      <c r="L10" s="156"/>
      <c r="O10" s="156"/>
      <c r="R10" s="156"/>
      <c r="U10" s="156"/>
      <c r="X10" s="156"/>
      <c r="AL10" s="159"/>
    </row>
    <row r="11" spans="1:38" s="155" customFormat="1" x14ac:dyDescent="0.2">
      <c r="B11" s="155" t="s">
        <v>96</v>
      </c>
      <c r="C11" s="172"/>
      <c r="M11" s="170"/>
      <c r="AL11" s="159"/>
    </row>
    <row r="12" spans="1:38" s="174" customFormat="1" ht="13.5" customHeight="1" x14ac:dyDescent="0.2">
      <c r="A12" s="194">
        <v>60011</v>
      </c>
      <c r="B12" s="376">
        <v>199700</v>
      </c>
      <c r="C12" s="377" t="s">
        <v>262</v>
      </c>
      <c r="D12" s="179">
        <f>'Chair FY11'!F12</f>
        <v>1664.17</v>
      </c>
      <c r="E12" s="179"/>
      <c r="F12" s="179"/>
      <c r="G12" s="179">
        <f>'Chair FY11'!J12</f>
        <v>1664.17</v>
      </c>
      <c r="H12" s="179"/>
      <c r="I12" s="179"/>
      <c r="J12" s="179">
        <f>'Chair FY11'!N12</f>
        <v>1664.17</v>
      </c>
      <c r="K12" s="179"/>
      <c r="L12" s="179"/>
      <c r="M12" s="179">
        <f>'Chair FY11'!S12</f>
        <v>1664.17</v>
      </c>
      <c r="N12" s="179"/>
      <c r="O12" s="179"/>
      <c r="P12" s="179">
        <f>'Chair FY11'!W12</f>
        <v>1664.17</v>
      </c>
      <c r="Q12" s="179"/>
      <c r="R12" s="179"/>
      <c r="S12" s="179">
        <f>'Chair FY11'!AA12</f>
        <v>1664.17</v>
      </c>
      <c r="T12" s="179"/>
      <c r="U12" s="179"/>
      <c r="V12" s="179">
        <f>'Chair FY11'!AF12</f>
        <v>1664.17</v>
      </c>
      <c r="W12" s="179"/>
      <c r="X12" s="179"/>
      <c r="Y12" s="179">
        <f>'Chair FY11'!AJ12</f>
        <v>1664.17</v>
      </c>
      <c r="Z12" s="179"/>
      <c r="AA12" s="179"/>
      <c r="AB12" s="179">
        <f>'Chair FY11'!AN12</f>
        <v>1664.17</v>
      </c>
      <c r="AC12" s="179"/>
      <c r="AD12" s="179"/>
      <c r="AE12" s="179">
        <f>'Chair FY11'!AS12</f>
        <v>1664.17</v>
      </c>
      <c r="AF12" s="179"/>
      <c r="AG12" s="179"/>
      <c r="AH12" s="179">
        <f>'Chair FY11'!AW12</f>
        <v>1664.17</v>
      </c>
      <c r="AI12" s="179"/>
      <c r="AJ12" s="179"/>
      <c r="AK12" s="179">
        <f>'Chair FY11'!BA12</f>
        <v>1664.17</v>
      </c>
      <c r="AL12" s="173">
        <f>SUM(D12:AK12)</f>
        <v>19970.04</v>
      </c>
    </row>
    <row r="13" spans="1:38" s="176" customFormat="1" ht="13.5" customHeight="1" x14ac:dyDescent="0.2">
      <c r="A13" s="196">
        <v>60101</v>
      </c>
      <c r="B13" s="422">
        <f>'Staff Salary Dist'!B4</f>
        <v>81558.080000000002</v>
      </c>
      <c r="C13" s="423" t="str">
        <f>'Staff Salary Dist'!A4</f>
        <v>Paul Programmer</v>
      </c>
      <c r="D13" s="180">
        <f>'Staff Salary Dist'!E6</f>
        <v>1359.3</v>
      </c>
      <c r="E13" s="180"/>
      <c r="F13" s="180"/>
      <c r="G13" s="180">
        <f>'Staff Salary Dist'!H6</f>
        <v>1359.3</v>
      </c>
      <c r="H13" s="180"/>
      <c r="I13" s="180"/>
      <c r="J13" s="180">
        <f>'Staff Salary Dist'!K6</f>
        <v>1359.3</v>
      </c>
      <c r="K13" s="180"/>
      <c r="L13" s="180"/>
      <c r="M13" s="180">
        <f>'Staff Salary Dist'!N6</f>
        <v>1359.3</v>
      </c>
      <c r="N13" s="180"/>
      <c r="O13" s="180"/>
      <c r="P13" s="180">
        <f>'Staff Salary Dist'!Q6</f>
        <v>1359.3</v>
      </c>
      <c r="Q13" s="180"/>
      <c r="R13" s="180"/>
      <c r="S13" s="180">
        <f>'Staff Salary Dist'!T6</f>
        <v>1359.3</v>
      </c>
      <c r="T13" s="180"/>
      <c r="U13" s="180"/>
      <c r="V13" s="180">
        <f>'Staff Salary Dist'!W6</f>
        <v>1359.3</v>
      </c>
      <c r="W13" s="180"/>
      <c r="X13" s="180"/>
      <c r="Y13" s="180">
        <f>'Staff Salary Dist'!Z6</f>
        <v>1359.3</v>
      </c>
      <c r="Z13" s="180"/>
      <c r="AA13" s="180"/>
      <c r="AB13" s="180">
        <f>'Staff Salary Dist'!AC6</f>
        <v>1359.3</v>
      </c>
      <c r="AC13" s="180"/>
      <c r="AD13" s="180"/>
      <c r="AE13" s="180">
        <f>'Staff Salary Dist'!AF6</f>
        <v>1359.3</v>
      </c>
      <c r="AF13" s="180"/>
      <c r="AG13" s="180"/>
      <c r="AH13" s="180">
        <f>'Staff Salary Dist'!AI6</f>
        <v>1359.3</v>
      </c>
      <c r="AI13" s="180"/>
      <c r="AJ13" s="180"/>
      <c r="AK13" s="180">
        <f>'Staff Salary Dist'!AL6</f>
        <v>1359.3</v>
      </c>
      <c r="AL13" s="175">
        <f>SUM(D13:AK13)</f>
        <v>16311.599999999997</v>
      </c>
    </row>
    <row r="14" spans="1:38" s="176" customFormat="1" ht="13.5" customHeight="1" x14ac:dyDescent="0.2">
      <c r="A14" s="196">
        <v>60101</v>
      </c>
      <c r="B14" s="422">
        <f>'Staff Salary Dist'!B12</f>
        <v>46533.42</v>
      </c>
      <c r="C14" s="423" t="str">
        <f>'Staff Salary Dist'!A12</f>
        <v>Connie Coordinator</v>
      </c>
      <c r="D14" s="180">
        <f>'Staff Salary Dist'!E14</f>
        <v>1163.3399999999999</v>
      </c>
      <c r="E14" s="180"/>
      <c r="F14" s="180"/>
      <c r="G14" s="180">
        <f>'Staff Salary Dist'!H14</f>
        <v>1163.3399999999999</v>
      </c>
      <c r="H14" s="180"/>
      <c r="I14" s="180"/>
      <c r="J14" s="180">
        <f>'Staff Salary Dist'!K14</f>
        <v>1163.3399999999999</v>
      </c>
      <c r="K14" s="180"/>
      <c r="L14" s="180"/>
      <c r="M14" s="180">
        <f>'Staff Salary Dist'!N14</f>
        <v>1163.3399999999999</v>
      </c>
      <c r="N14" s="180"/>
      <c r="O14" s="180"/>
      <c r="P14" s="180">
        <f>'Staff Salary Dist'!Q14</f>
        <v>1163.3399999999999</v>
      </c>
      <c r="Q14" s="180"/>
      <c r="R14" s="180"/>
      <c r="S14" s="180">
        <f>'Staff Salary Dist'!T14</f>
        <v>1163.3399999999999</v>
      </c>
      <c r="T14" s="180"/>
      <c r="U14" s="180"/>
      <c r="V14" s="180">
        <f>'Staff Salary Dist'!W14</f>
        <v>1163.3399999999999</v>
      </c>
      <c r="W14" s="180"/>
      <c r="X14" s="180"/>
      <c r="Y14" s="180">
        <f>'Staff Salary Dist'!Z14</f>
        <v>1163.3399999999999</v>
      </c>
      <c r="Z14" s="180"/>
      <c r="AA14" s="180"/>
      <c r="AB14" s="180">
        <f>'Staff Salary Dist'!AC14</f>
        <v>1163.3399999999999</v>
      </c>
      <c r="AC14" s="180"/>
      <c r="AD14" s="180"/>
      <c r="AE14" s="180">
        <f>'Staff Salary Dist'!AF14</f>
        <v>1163.3399999999999</v>
      </c>
      <c r="AF14" s="180"/>
      <c r="AG14" s="180"/>
      <c r="AH14" s="180">
        <f>'Staff Salary Dist'!AI14</f>
        <v>1163.3399999999999</v>
      </c>
      <c r="AI14" s="180"/>
      <c r="AJ14" s="180"/>
      <c r="AK14" s="180">
        <f>'Staff Salary Dist'!AL14</f>
        <v>1163.3399999999999</v>
      </c>
      <c r="AL14" s="175">
        <f>SUM(D14:AK14)</f>
        <v>13960.08</v>
      </c>
    </row>
    <row r="15" spans="1:38" ht="6" customHeight="1" x14ac:dyDescent="0.2">
      <c r="A15" s="193"/>
      <c r="C15" s="188"/>
      <c r="D15" s="156"/>
      <c r="G15" s="156"/>
      <c r="J15" s="156"/>
      <c r="M15" s="161"/>
      <c r="P15" s="156"/>
      <c r="S15" s="156"/>
      <c r="V15" s="156"/>
      <c r="Y15" s="156"/>
      <c r="Z15" s="156"/>
      <c r="AA15" s="156"/>
      <c r="AB15" s="156"/>
      <c r="AC15" s="156"/>
      <c r="AD15" s="156"/>
      <c r="AE15" s="156"/>
      <c r="AF15" s="156"/>
      <c r="AG15" s="156"/>
      <c r="AH15" s="156"/>
      <c r="AI15" s="156"/>
      <c r="AJ15" s="156"/>
      <c r="AK15" s="156"/>
      <c r="AL15" s="171"/>
    </row>
    <row r="16" spans="1:38" s="174" customFormat="1" x14ac:dyDescent="0.2">
      <c r="A16" s="194"/>
      <c r="B16" s="178"/>
      <c r="C16" s="195" t="s">
        <v>97</v>
      </c>
      <c r="D16" s="179">
        <f>SUM(D12:D12)</f>
        <v>1664.17</v>
      </c>
      <c r="E16" s="179">
        <f>SUM(E12:E12)</f>
        <v>0</v>
      </c>
      <c r="F16" s="179"/>
      <c r="G16" s="179">
        <f>SUM(G12:G12)</f>
        <v>1664.17</v>
      </c>
      <c r="H16" s="179">
        <f>SUM(H12:H12)</f>
        <v>0</v>
      </c>
      <c r="I16" s="179"/>
      <c r="J16" s="179">
        <f>SUM(J12:J12)</f>
        <v>1664.17</v>
      </c>
      <c r="K16" s="179">
        <f>SUM(K12:K12)</f>
        <v>0</v>
      </c>
      <c r="L16" s="179"/>
      <c r="M16" s="179">
        <f>SUM(M12:M12)</f>
        <v>1664.17</v>
      </c>
      <c r="N16" s="179">
        <f>SUM(N12:N12)</f>
        <v>0</v>
      </c>
      <c r="O16" s="179"/>
      <c r="P16" s="179">
        <f>SUM(P12:P12)</f>
        <v>1664.17</v>
      </c>
      <c r="Q16" s="179">
        <f>SUM(Q12:Q12)</f>
        <v>0</v>
      </c>
      <c r="R16" s="179"/>
      <c r="S16" s="179">
        <f>SUM(S12:S12)</f>
        <v>1664.17</v>
      </c>
      <c r="T16" s="179">
        <f>SUM(T12:T12)</f>
        <v>0</v>
      </c>
      <c r="U16" s="179"/>
      <c r="V16" s="179">
        <f>SUM(V12:V12)</f>
        <v>1664.17</v>
      </c>
      <c r="W16" s="179">
        <f>SUM(W12:W12)</f>
        <v>0</v>
      </c>
      <c r="X16" s="179"/>
      <c r="Y16" s="179">
        <f>SUM(Y12:Y12)</f>
        <v>1664.17</v>
      </c>
      <c r="Z16" s="179">
        <f>SUM(Z12:Z12)</f>
        <v>0</v>
      </c>
      <c r="AA16" s="179"/>
      <c r="AB16" s="179">
        <f>SUM(AB12:AB12)</f>
        <v>1664.17</v>
      </c>
      <c r="AC16" s="179">
        <f>SUM(AC12:AC12)</f>
        <v>0</v>
      </c>
      <c r="AD16" s="179"/>
      <c r="AE16" s="179">
        <f>SUM(AE12:AE12)</f>
        <v>1664.17</v>
      </c>
      <c r="AF16" s="179">
        <f>SUM(AF12:AF12)</f>
        <v>0</v>
      </c>
      <c r="AG16" s="179"/>
      <c r="AH16" s="179">
        <f>SUM(AH12:AH12)</f>
        <v>1664.17</v>
      </c>
      <c r="AI16" s="179">
        <f>SUM(AI12:AI12)</f>
        <v>0</v>
      </c>
      <c r="AJ16" s="179"/>
      <c r="AK16" s="179">
        <f>SUM(AK12:AK12)</f>
        <v>1664.17</v>
      </c>
      <c r="AL16" s="173">
        <f>SUM(D16:AK16)</f>
        <v>19970.04</v>
      </c>
    </row>
    <row r="17" spans="1:38" s="176" customFormat="1" x14ac:dyDescent="0.2">
      <c r="A17" s="196"/>
      <c r="B17" s="177"/>
      <c r="C17" s="197" t="s">
        <v>98</v>
      </c>
      <c r="D17" s="180">
        <f>SUM(D13:D15)</f>
        <v>2522.64</v>
      </c>
      <c r="E17" s="180"/>
      <c r="F17" s="180"/>
      <c r="G17" s="180">
        <f>SUM(G13:G13)</f>
        <v>1359.3</v>
      </c>
      <c r="H17" s="180"/>
      <c r="I17" s="180"/>
      <c r="J17" s="180">
        <f>SUM(J13:J13)</f>
        <v>1359.3</v>
      </c>
      <c r="K17" s="180"/>
      <c r="L17" s="180"/>
      <c r="M17" s="180">
        <f>SUM(M13:M13)</f>
        <v>1359.3</v>
      </c>
      <c r="N17" s="180"/>
      <c r="O17" s="180"/>
      <c r="P17" s="180">
        <f>SUM(P13:P13)</f>
        <v>1359.3</v>
      </c>
      <c r="Q17" s="180"/>
      <c r="R17" s="180"/>
      <c r="S17" s="180">
        <f>SUM(S13:S13)</f>
        <v>1359.3</v>
      </c>
      <c r="T17" s="180"/>
      <c r="U17" s="180"/>
      <c r="V17" s="180">
        <f>SUM(V13:V13)</f>
        <v>1359.3</v>
      </c>
      <c r="W17" s="180"/>
      <c r="X17" s="180"/>
      <c r="Y17" s="180">
        <f>SUM(Y13:Y13)</f>
        <v>1359.3</v>
      </c>
      <c r="Z17" s="180"/>
      <c r="AA17" s="180"/>
      <c r="AB17" s="180">
        <f>SUM(AB13:AB13)</f>
        <v>1359.3</v>
      </c>
      <c r="AC17" s="180"/>
      <c r="AD17" s="180"/>
      <c r="AE17" s="180">
        <f>SUM(AE13:AE13)</f>
        <v>1359.3</v>
      </c>
      <c r="AF17" s="180"/>
      <c r="AG17" s="180"/>
      <c r="AH17" s="180">
        <f>SUM(AH13:AH13)</f>
        <v>1359.3</v>
      </c>
      <c r="AI17" s="180"/>
      <c r="AJ17" s="180"/>
      <c r="AK17" s="180">
        <f>SUM(AK13:AK13)</f>
        <v>1359.3</v>
      </c>
      <c r="AL17" s="175">
        <f>SUM(D17:AK17)</f>
        <v>17474.939999999995</v>
      </c>
    </row>
    <row r="18" spans="1:38" s="176" customFormat="1" x14ac:dyDescent="0.2">
      <c r="A18" s="196"/>
      <c r="B18" s="177"/>
      <c r="C18" s="197"/>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75"/>
    </row>
    <row r="19" spans="1:38" s="160" customFormat="1" x14ac:dyDescent="0.2">
      <c r="A19" s="198">
        <v>60186</v>
      </c>
      <c r="B19" s="177"/>
      <c r="C19" s="172" t="s">
        <v>113</v>
      </c>
      <c r="D19" s="181">
        <f>ROUND(SUM(D16:D17)*0.257,2)</f>
        <v>1076.01</v>
      </c>
      <c r="E19" s="181"/>
      <c r="F19" s="181"/>
      <c r="G19" s="181">
        <f>ROUND(SUM(G16:G17)*0.257,2)</f>
        <v>777.03</v>
      </c>
      <c r="H19" s="181"/>
      <c r="I19" s="181"/>
      <c r="J19" s="181">
        <f t="shared" ref="J19" si="0">ROUND(SUM(J16:J17)*0.257,2)</f>
        <v>777.03</v>
      </c>
      <c r="K19" s="181"/>
      <c r="L19" s="181"/>
      <c r="M19" s="181">
        <f t="shared" ref="M19" si="1">ROUND(SUM(M16:M17)*0.257,2)</f>
        <v>777.03</v>
      </c>
      <c r="N19" s="181"/>
      <c r="O19" s="181"/>
      <c r="P19" s="181">
        <f t="shared" ref="P19" si="2">ROUND(SUM(P16:P17)*0.257,2)</f>
        <v>777.03</v>
      </c>
      <c r="Q19" s="181"/>
      <c r="R19" s="181"/>
      <c r="S19" s="181">
        <f t="shared" ref="S19" si="3">ROUND(SUM(S16:S17)*0.257,2)</f>
        <v>777.03</v>
      </c>
      <c r="T19" s="181"/>
      <c r="U19" s="181"/>
      <c r="V19" s="181">
        <f t="shared" ref="V19" si="4">ROUND(SUM(V16:V17)*0.257,2)</f>
        <v>777.03</v>
      </c>
      <c r="W19" s="181"/>
      <c r="X19" s="181"/>
      <c r="Y19" s="181">
        <f t="shared" ref="Y19" si="5">ROUND(SUM(Y16:Y17)*0.257,2)</f>
        <v>777.03</v>
      </c>
      <c r="Z19" s="181"/>
      <c r="AA19" s="181"/>
      <c r="AB19" s="181">
        <f t="shared" ref="AB19" si="6">ROUND(SUM(AB16:AB17)*0.257,2)</f>
        <v>777.03</v>
      </c>
      <c r="AC19" s="181"/>
      <c r="AD19" s="181"/>
      <c r="AE19" s="181">
        <f t="shared" ref="AE19" si="7">ROUND(SUM(AE16:AE17)*0.257,2)</f>
        <v>777.03</v>
      </c>
      <c r="AF19" s="181"/>
      <c r="AG19" s="181"/>
      <c r="AH19" s="181">
        <f t="shared" ref="AH19" si="8">ROUND(SUM(AH16:AH17)*0.257,2)</f>
        <v>777.03</v>
      </c>
      <c r="AI19" s="181"/>
      <c r="AJ19" s="181"/>
      <c r="AK19" s="181">
        <f t="shared" ref="AK19" si="9">ROUND(SUM(AK16:AK17)*0.257,2)</f>
        <v>777.03</v>
      </c>
      <c r="AL19" s="199">
        <f>SUM(D19:AK19)</f>
        <v>9623.3399999999983</v>
      </c>
    </row>
    <row r="20" spans="1:38" x14ac:dyDescent="0.2">
      <c r="A20" s="193"/>
      <c r="B20" s="177"/>
      <c r="C20" s="187" t="s">
        <v>101</v>
      </c>
      <c r="D20" s="166">
        <f>SUM(D16:D19)</f>
        <v>5262.82</v>
      </c>
      <c r="E20" s="166"/>
      <c r="F20" s="166"/>
      <c r="G20" s="166">
        <f>SUM(G16:G19)</f>
        <v>3800.5</v>
      </c>
      <c r="H20" s="166"/>
      <c r="I20" s="166"/>
      <c r="J20" s="166">
        <f>SUM(J16:J19)</f>
        <v>3800.5</v>
      </c>
      <c r="K20" s="166"/>
      <c r="L20" s="166"/>
      <c r="M20" s="166">
        <f>SUM(M16:M19)</f>
        <v>3800.5</v>
      </c>
      <c r="N20" s="166"/>
      <c r="O20" s="166"/>
      <c r="P20" s="166">
        <f>SUM(P16:P19)</f>
        <v>3800.5</v>
      </c>
      <c r="Q20" s="166"/>
      <c r="R20" s="166"/>
      <c r="S20" s="166">
        <f>SUM(S16:S19)</f>
        <v>3800.5</v>
      </c>
      <c r="T20" s="166"/>
      <c r="U20" s="166"/>
      <c r="V20" s="166">
        <f>SUM(V16:V19)</f>
        <v>3800.5</v>
      </c>
      <c r="W20" s="166"/>
      <c r="X20" s="166"/>
      <c r="Y20" s="166">
        <f>SUM(Y16:Y19)</f>
        <v>3800.5</v>
      </c>
      <c r="Z20" s="166"/>
      <c r="AA20" s="166"/>
      <c r="AB20" s="166">
        <f>SUM(AB16:AB19)</f>
        <v>3800.5</v>
      </c>
      <c r="AC20" s="166"/>
      <c r="AD20" s="166"/>
      <c r="AE20" s="166">
        <f>SUM(AE16:AE19)</f>
        <v>3800.5</v>
      </c>
      <c r="AF20" s="166"/>
      <c r="AG20" s="166"/>
      <c r="AH20" s="166">
        <f>SUM(AH16:AH19)</f>
        <v>3800.5</v>
      </c>
      <c r="AI20" s="166"/>
      <c r="AJ20" s="166"/>
      <c r="AK20" s="166">
        <f>SUM(AK16:AK19)</f>
        <v>3800.5</v>
      </c>
      <c r="AL20" s="191">
        <f>SUM(D20:AK20)</f>
        <v>47068.32</v>
      </c>
    </row>
    <row r="21" spans="1:38" ht="6" customHeight="1" x14ac:dyDescent="0.2">
      <c r="A21" s="193"/>
      <c r="C21" s="188"/>
      <c r="D21" s="156"/>
      <c r="G21" s="156"/>
      <c r="J21" s="156"/>
      <c r="M21" s="161"/>
      <c r="P21" s="156"/>
      <c r="S21" s="156"/>
      <c r="V21" s="156"/>
      <c r="Y21" s="156"/>
      <c r="Z21" s="156"/>
      <c r="AA21" s="156"/>
      <c r="AB21" s="156"/>
      <c r="AC21" s="156"/>
      <c r="AD21" s="156"/>
      <c r="AE21" s="156"/>
      <c r="AF21" s="156"/>
      <c r="AG21" s="156"/>
      <c r="AH21" s="156"/>
      <c r="AI21" s="156"/>
      <c r="AJ21" s="156"/>
      <c r="AK21" s="156"/>
      <c r="AL21" s="171"/>
    </row>
    <row r="22" spans="1:38" x14ac:dyDescent="0.2">
      <c r="A22" s="146" t="s">
        <v>100</v>
      </c>
      <c r="C22" s="200"/>
      <c r="D22" s="183"/>
      <c r="E22" s="166"/>
      <c r="F22" s="166"/>
      <c r="G22" s="183"/>
      <c r="H22" s="166"/>
      <c r="I22" s="166"/>
      <c r="J22" s="183"/>
      <c r="K22" s="166"/>
      <c r="L22" s="166"/>
      <c r="M22" s="184"/>
      <c r="N22" s="166"/>
      <c r="O22" s="166"/>
      <c r="P22" s="183"/>
      <c r="Q22" s="166"/>
      <c r="R22" s="166"/>
      <c r="S22" s="183"/>
      <c r="T22" s="166"/>
      <c r="U22" s="166"/>
      <c r="V22" s="183"/>
      <c r="W22" s="166"/>
      <c r="X22" s="166"/>
      <c r="Y22" s="183"/>
      <c r="Z22" s="183"/>
      <c r="AA22" s="183"/>
      <c r="AB22" s="183"/>
      <c r="AC22" s="183"/>
      <c r="AD22" s="183"/>
      <c r="AE22" s="183"/>
      <c r="AF22" s="183"/>
      <c r="AG22" s="183"/>
      <c r="AH22" s="183"/>
      <c r="AI22" s="183"/>
      <c r="AJ22" s="183"/>
      <c r="AK22" s="201"/>
      <c r="AL22" s="202"/>
    </row>
    <row r="23" spans="1:38" ht="25.5" x14ac:dyDescent="0.2">
      <c r="A23" s="193">
        <v>76765</v>
      </c>
      <c r="B23" s="146"/>
      <c r="C23" s="157" t="s">
        <v>289</v>
      </c>
      <c r="D23" s="156">
        <v>0</v>
      </c>
      <c r="G23" s="156">
        <v>0</v>
      </c>
      <c r="J23" s="156">
        <v>0</v>
      </c>
      <c r="M23" s="156">
        <f>J23</f>
        <v>0</v>
      </c>
      <c r="P23" s="156">
        <f>M23</f>
        <v>0</v>
      </c>
      <c r="S23" s="156">
        <f>P23</f>
        <v>0</v>
      </c>
      <c r="V23" s="156">
        <f>S23</f>
        <v>0</v>
      </c>
      <c r="Y23" s="156">
        <f>V23</f>
        <v>0</v>
      </c>
      <c r="AB23" s="156">
        <f>Y23</f>
        <v>0</v>
      </c>
      <c r="AE23" s="156">
        <f>AB23</f>
        <v>0</v>
      </c>
      <c r="AH23" s="156"/>
      <c r="AK23" s="186">
        <v>1200</v>
      </c>
      <c r="AL23" s="199">
        <f>SUM(D23:AK23)</f>
        <v>1200</v>
      </c>
    </row>
    <row r="24" spans="1:38" s="189" customFormat="1" x14ac:dyDescent="0.2">
      <c r="A24" s="203"/>
      <c r="B24" s="150"/>
      <c r="C24" s="204" t="s">
        <v>102</v>
      </c>
      <c r="D24" s="205">
        <f>SUM(D23:D23)</f>
        <v>0</v>
      </c>
      <c r="G24" s="205">
        <f>SUM(G23:G23)</f>
        <v>0</v>
      </c>
      <c r="J24" s="205">
        <f>SUM(J23:J23)</f>
        <v>0</v>
      </c>
      <c r="M24" s="205">
        <f>SUM(M23:M23)</f>
        <v>0</v>
      </c>
      <c r="P24" s="205">
        <f>SUM(P23:P23)</f>
        <v>0</v>
      </c>
      <c r="S24" s="205">
        <f>SUM(S23:S23)</f>
        <v>0</v>
      </c>
      <c r="V24" s="205">
        <f>SUM(V23:V23)</f>
        <v>0</v>
      </c>
      <c r="Y24" s="205">
        <f>SUM(Y23:Y23)</f>
        <v>0</v>
      </c>
      <c r="Z24" s="205"/>
      <c r="AA24" s="205"/>
      <c r="AB24" s="205">
        <f>SUM(AB23:AB23)</f>
        <v>0</v>
      </c>
      <c r="AC24" s="205"/>
      <c r="AD24" s="205"/>
      <c r="AE24" s="205">
        <f>SUM(AE23:AE23)</f>
        <v>0</v>
      </c>
      <c r="AF24" s="205"/>
      <c r="AG24" s="205"/>
      <c r="AH24" s="167"/>
      <c r="AI24" s="205"/>
      <c r="AJ24" s="205"/>
      <c r="AK24" s="206">
        <f>SUM(AK23:AK23)</f>
        <v>1200</v>
      </c>
      <c r="AL24" s="191">
        <f>SUM(D24:AK24)</f>
        <v>1200</v>
      </c>
    </row>
    <row r="25" spans="1:38" ht="6" customHeight="1" x14ac:dyDescent="0.2">
      <c r="A25" s="193"/>
      <c r="C25" s="188"/>
      <c r="D25" s="156"/>
      <c r="G25" s="156"/>
      <c r="J25" s="156"/>
      <c r="M25" s="156"/>
      <c r="P25" s="156"/>
      <c r="S25" s="156"/>
      <c r="V25" s="156"/>
      <c r="Y25" s="156"/>
      <c r="Z25" s="156"/>
      <c r="AA25" s="156"/>
      <c r="AB25" s="156"/>
      <c r="AC25" s="156"/>
      <c r="AD25" s="156"/>
      <c r="AE25" s="156"/>
      <c r="AF25" s="156"/>
      <c r="AG25" s="156"/>
      <c r="AH25" s="156"/>
      <c r="AI25" s="156"/>
      <c r="AJ25" s="156"/>
      <c r="AK25" s="156"/>
      <c r="AL25" s="171"/>
    </row>
    <row r="26" spans="1:38" s="207" customFormat="1" x14ac:dyDescent="0.2">
      <c r="A26" s="150" t="s">
        <v>103</v>
      </c>
      <c r="C26" s="200"/>
      <c r="D26" s="208"/>
      <c r="G26" s="208"/>
      <c r="J26" s="208"/>
      <c r="M26" s="208"/>
      <c r="P26" s="208"/>
      <c r="S26" s="208"/>
      <c r="V26" s="208"/>
      <c r="Y26" s="208"/>
      <c r="Z26" s="208"/>
      <c r="AA26" s="208"/>
      <c r="AB26" s="208"/>
      <c r="AC26" s="208"/>
      <c r="AD26" s="208"/>
      <c r="AE26" s="208"/>
      <c r="AF26" s="208"/>
      <c r="AG26" s="208"/>
      <c r="AH26" s="156"/>
      <c r="AI26" s="208"/>
      <c r="AJ26" s="208"/>
      <c r="AK26" s="208"/>
      <c r="AL26" s="171"/>
    </row>
    <row r="27" spans="1:38" s="207" customFormat="1" ht="30" customHeight="1" x14ac:dyDescent="0.2">
      <c r="A27" s="209">
        <v>78660</v>
      </c>
      <c r="B27" s="150"/>
      <c r="C27" s="157" t="s">
        <v>290</v>
      </c>
      <c r="D27" s="156">
        <v>0</v>
      </c>
      <c r="E27" s="155"/>
      <c r="F27" s="155"/>
      <c r="G27" s="156">
        <v>0</v>
      </c>
      <c r="H27" s="155"/>
      <c r="I27" s="155"/>
      <c r="J27" s="156">
        <v>0</v>
      </c>
      <c r="K27" s="155"/>
      <c r="L27" s="155"/>
      <c r="M27" s="156">
        <v>0</v>
      </c>
      <c r="N27" s="155"/>
      <c r="O27" s="155"/>
      <c r="P27" s="156">
        <v>0</v>
      </c>
      <c r="Q27" s="155"/>
      <c r="R27" s="155"/>
      <c r="S27" s="156">
        <v>0</v>
      </c>
      <c r="T27" s="155"/>
      <c r="U27" s="155"/>
      <c r="V27" s="156">
        <f>S27</f>
        <v>0</v>
      </c>
      <c r="W27" s="155"/>
      <c r="X27" s="155"/>
      <c r="Y27" s="156">
        <f>V27</f>
        <v>0</v>
      </c>
      <c r="Z27" s="155"/>
      <c r="AA27" s="155"/>
      <c r="AB27" s="156">
        <f>Y27</f>
        <v>0</v>
      </c>
      <c r="AC27" s="155"/>
      <c r="AD27" s="155"/>
      <c r="AE27" s="156">
        <v>0</v>
      </c>
      <c r="AF27" s="155"/>
      <c r="AG27" s="155"/>
      <c r="AH27" s="156"/>
      <c r="AI27" s="155"/>
      <c r="AJ27" s="155"/>
      <c r="AK27" s="186">
        <v>1700</v>
      </c>
      <c r="AL27" s="199">
        <f>SUM(D27:AK27)</f>
        <v>1700</v>
      </c>
    </row>
    <row r="28" spans="1:38" s="189" customFormat="1" x14ac:dyDescent="0.2">
      <c r="A28" s="203"/>
      <c r="B28" s="150"/>
      <c r="C28" s="204" t="s">
        <v>105</v>
      </c>
      <c r="D28" s="205">
        <f>SUM(D27:D27)</f>
        <v>0</v>
      </c>
      <c r="G28" s="205">
        <f>SUM(G27:G27)</f>
        <v>0</v>
      </c>
      <c r="J28" s="205">
        <f>SUM(J27:J27)</f>
        <v>0</v>
      </c>
      <c r="M28" s="205">
        <f>SUM(M27:M27)</f>
        <v>0</v>
      </c>
      <c r="P28" s="205">
        <f>SUM(P27:P27)</f>
        <v>0</v>
      </c>
      <c r="S28" s="205">
        <f>SUM(S27:S27)</f>
        <v>0</v>
      </c>
      <c r="V28" s="205">
        <f>SUM(V27:V27)</f>
        <v>0</v>
      </c>
      <c r="Y28" s="205">
        <f>SUM(Y27:Y27)</f>
        <v>0</v>
      </c>
      <c r="Z28" s="205"/>
      <c r="AA28" s="205"/>
      <c r="AB28" s="205">
        <f>SUM(AB27:AB27)</f>
        <v>0</v>
      </c>
      <c r="AC28" s="205"/>
      <c r="AD28" s="205"/>
      <c r="AE28" s="205">
        <f>SUM(AE27:AE27)</f>
        <v>0</v>
      </c>
      <c r="AF28" s="205"/>
      <c r="AG28" s="205"/>
      <c r="AH28" s="167"/>
      <c r="AI28" s="205"/>
      <c r="AJ28" s="205"/>
      <c r="AK28" s="206">
        <f>SUM(AK27:AK27)</f>
        <v>1700</v>
      </c>
      <c r="AL28" s="191">
        <f>SUM(D28:AK28)</f>
        <v>1700</v>
      </c>
    </row>
    <row r="29" spans="1:38" ht="6" customHeight="1" x14ac:dyDescent="0.2">
      <c r="A29" s="193"/>
      <c r="C29" s="188"/>
      <c r="D29" s="156"/>
      <c r="G29" s="156"/>
      <c r="J29" s="156"/>
      <c r="M29" s="156"/>
      <c r="P29" s="156"/>
      <c r="S29" s="156"/>
      <c r="V29" s="156"/>
      <c r="Y29" s="156"/>
      <c r="Z29" s="156"/>
      <c r="AA29" s="156"/>
      <c r="AB29" s="156"/>
      <c r="AC29" s="156"/>
      <c r="AD29" s="156"/>
      <c r="AE29" s="156"/>
      <c r="AF29" s="156"/>
      <c r="AG29" s="156"/>
      <c r="AH29" s="156"/>
      <c r="AI29" s="156"/>
      <c r="AJ29" s="156"/>
      <c r="AK29" s="156"/>
      <c r="AL29" s="171"/>
    </row>
    <row r="30" spans="1:38" s="189" customFormat="1" x14ac:dyDescent="0.2">
      <c r="B30" s="150"/>
      <c r="C30" s="187" t="s">
        <v>106</v>
      </c>
      <c r="D30" s="205">
        <f>D28+D24+D20</f>
        <v>5262.82</v>
      </c>
      <c r="G30" s="205">
        <f>G28+G24+G20</f>
        <v>3800.5</v>
      </c>
      <c r="J30" s="205">
        <f>J28+J24+J20</f>
        <v>3800.5</v>
      </c>
      <c r="M30" s="205">
        <f>M28+M24+M20</f>
        <v>3800.5</v>
      </c>
      <c r="P30" s="205">
        <f>P28+P24+P20</f>
        <v>3800.5</v>
      </c>
      <c r="S30" s="205">
        <f>S28+S24+S20</f>
        <v>3800.5</v>
      </c>
      <c r="V30" s="205">
        <f>V28+V24+V20</f>
        <v>3800.5</v>
      </c>
      <c r="Y30" s="205">
        <f>Y28+Y24+Y20</f>
        <v>3800.5</v>
      </c>
      <c r="AB30" s="205">
        <f>AB28+AB24+AB20</f>
        <v>3800.5</v>
      </c>
      <c r="AE30" s="205">
        <f>AE28+AE24+AE20</f>
        <v>3800.5</v>
      </c>
      <c r="AH30" s="205">
        <f>AH28+AH24+AH20</f>
        <v>3800.5</v>
      </c>
      <c r="AK30" s="205">
        <f>AK28+AK24+AK20</f>
        <v>6700.5</v>
      </c>
      <c r="AL30" s="191">
        <f>SUM(D30:AK30)</f>
        <v>49968.32</v>
      </c>
    </row>
    <row r="31" spans="1:38" ht="6" customHeight="1" x14ac:dyDescent="0.2">
      <c r="C31" s="188"/>
      <c r="D31" s="156"/>
      <c r="G31" s="156"/>
      <c r="J31" s="156"/>
      <c r="M31" s="156"/>
      <c r="P31" s="156"/>
      <c r="S31" s="156"/>
      <c r="V31" s="156"/>
      <c r="Y31" s="156"/>
      <c r="Z31" s="156"/>
      <c r="AA31" s="156"/>
      <c r="AB31" s="156"/>
      <c r="AC31" s="156"/>
      <c r="AD31" s="156"/>
      <c r="AE31" s="156"/>
      <c r="AF31" s="156"/>
      <c r="AG31" s="156"/>
      <c r="AH31" s="156"/>
      <c r="AI31" s="156"/>
      <c r="AJ31" s="156"/>
      <c r="AK31" s="156"/>
      <c r="AL31" s="171"/>
    </row>
    <row r="32" spans="1:38" s="207" customFormat="1" x14ac:dyDescent="0.2">
      <c r="A32" s="150" t="s">
        <v>107</v>
      </c>
      <c r="C32" s="200"/>
      <c r="D32" s="208">
        <f>D3+D6-D30+D7</f>
        <v>44737.18</v>
      </c>
      <c r="G32" s="208">
        <f>G3+G6-G30+G7</f>
        <v>40936.68</v>
      </c>
      <c r="J32" s="208">
        <f>J3+J6-J30+J7</f>
        <v>37136.18</v>
      </c>
      <c r="M32" s="208">
        <f>M3+M6-M30+M7</f>
        <v>33335.68</v>
      </c>
      <c r="P32" s="208">
        <f>P3+P6-P30+P7</f>
        <v>29535.18</v>
      </c>
      <c r="S32" s="208">
        <f>S3+S6-S30+S7</f>
        <v>25734.68</v>
      </c>
      <c r="V32" s="208">
        <f>V3+V6-V30+V7</f>
        <v>21934.18</v>
      </c>
      <c r="Y32" s="208">
        <f>Y3+Y6-Y30+Y7</f>
        <v>18133.68</v>
      </c>
      <c r="AB32" s="208">
        <f>AB3+AB6-AB30+AB7</f>
        <v>14333.18</v>
      </c>
      <c r="AE32" s="208">
        <f>AE3+AE6-AE30+AE7</f>
        <v>10532.68</v>
      </c>
      <c r="AH32" s="208">
        <f>AH3+AH6-AH30+AH7</f>
        <v>6732.18</v>
      </c>
      <c r="AK32" s="208">
        <f>AK3+AK6-AK30+AK7</f>
        <v>2.9132252166164108E-13</v>
      </c>
      <c r="AL32" s="171">
        <f>D3+AL7-AL30</f>
        <v>0</v>
      </c>
    </row>
    <row r="33" spans="2:38" s="207" customFormat="1" x14ac:dyDescent="0.2">
      <c r="B33" s="150"/>
      <c r="C33" s="200"/>
      <c r="D33" s="155"/>
      <c r="E33" s="155"/>
      <c r="F33" s="155"/>
      <c r="G33" s="155"/>
      <c r="H33" s="155"/>
      <c r="I33" s="155"/>
      <c r="J33" s="155"/>
      <c r="K33" s="155"/>
      <c r="L33" s="155"/>
      <c r="M33" s="170"/>
      <c r="N33" s="155"/>
      <c r="O33" s="155"/>
      <c r="P33" s="155"/>
      <c r="Q33" s="155"/>
      <c r="R33" s="155"/>
      <c r="S33" s="155"/>
      <c r="T33" s="155"/>
      <c r="U33" s="155"/>
      <c r="V33" s="155"/>
      <c r="W33" s="155"/>
      <c r="X33" s="155"/>
      <c r="Y33" s="155"/>
      <c r="Z33" s="155"/>
      <c r="AA33" s="155"/>
      <c r="AB33" s="155"/>
      <c r="AC33" s="155"/>
      <c r="AD33" s="155"/>
      <c r="AF33" s="155"/>
      <c r="AG33" s="155"/>
      <c r="AI33" s="155"/>
      <c r="AJ33" s="155"/>
      <c r="AL33" s="159"/>
    </row>
    <row r="34" spans="2:38" s="207" customFormat="1" x14ac:dyDescent="0.2">
      <c r="B34" s="150"/>
      <c r="C34" s="210"/>
      <c r="D34" s="155"/>
      <c r="E34" s="155"/>
      <c r="F34" s="155"/>
      <c r="G34" s="155"/>
      <c r="H34" s="155"/>
      <c r="I34" s="155"/>
      <c r="J34" s="155"/>
      <c r="K34" s="155"/>
      <c r="L34" s="155"/>
      <c r="M34" s="155"/>
      <c r="N34" s="155"/>
      <c r="O34" s="155"/>
      <c r="P34" s="155"/>
      <c r="Q34" s="155"/>
      <c r="R34" s="155"/>
      <c r="S34" s="211"/>
      <c r="T34" s="155"/>
      <c r="U34" s="155"/>
      <c r="V34" s="211"/>
      <c r="W34" s="155"/>
      <c r="X34" s="155"/>
      <c r="Y34" s="208"/>
      <c r="Z34" s="155"/>
      <c r="AA34" s="155"/>
      <c r="AB34" s="208"/>
      <c r="AC34" s="155"/>
      <c r="AD34" s="155"/>
      <c r="AE34" s="155"/>
      <c r="AF34" s="155"/>
      <c r="AG34" s="155"/>
      <c r="AH34" s="155"/>
      <c r="AI34" s="155"/>
      <c r="AJ34" s="155"/>
      <c r="AK34" s="185" t="s">
        <v>109</v>
      </c>
      <c r="AL34" s="169">
        <f>-AK7</f>
        <v>31.68</v>
      </c>
    </row>
    <row r="35" spans="2:38" s="207" customFormat="1" x14ac:dyDescent="0.2">
      <c r="B35" s="150"/>
      <c r="C35" s="200"/>
      <c r="D35" s="155"/>
      <c r="E35" s="155"/>
      <c r="F35" s="155"/>
      <c r="G35" s="155"/>
      <c r="H35" s="155"/>
      <c r="I35" s="155"/>
      <c r="J35" s="155"/>
      <c r="K35" s="155"/>
      <c r="L35" s="155"/>
      <c r="M35" s="170"/>
      <c r="N35" s="155"/>
      <c r="O35" s="155"/>
      <c r="P35" s="155"/>
      <c r="Q35" s="155"/>
      <c r="R35" s="155"/>
      <c r="S35" s="211"/>
      <c r="T35" s="155"/>
      <c r="U35" s="155"/>
      <c r="V35" s="155"/>
      <c r="W35" s="155"/>
      <c r="X35" s="155"/>
      <c r="Y35" s="212"/>
      <c r="Z35" s="155"/>
      <c r="AA35" s="155"/>
      <c r="AB35" s="212"/>
      <c r="AC35" s="155"/>
      <c r="AD35" s="155"/>
      <c r="AE35" s="155"/>
      <c r="AF35" s="155"/>
      <c r="AG35" s="155"/>
      <c r="AH35" s="155"/>
      <c r="AI35" s="155"/>
      <c r="AJ35" s="155"/>
      <c r="AK35" s="155"/>
      <c r="AL35" s="155"/>
    </row>
    <row r="36" spans="2:38" s="207" customFormat="1" x14ac:dyDescent="0.2">
      <c r="B36" s="150"/>
      <c r="C36" s="200"/>
      <c r="D36" s="155"/>
      <c r="E36" s="155"/>
      <c r="F36" s="155"/>
      <c r="G36" s="155"/>
      <c r="H36" s="155"/>
      <c r="I36" s="155"/>
      <c r="J36" s="155"/>
      <c r="K36" s="155"/>
      <c r="L36" s="155"/>
      <c r="M36" s="170"/>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row>
    <row r="37" spans="2:38" s="207" customFormat="1" x14ac:dyDescent="0.2">
      <c r="B37" s="150"/>
      <c r="C37" s="200"/>
      <c r="D37" s="155"/>
      <c r="E37" s="155"/>
      <c r="F37" s="155"/>
      <c r="G37" s="155"/>
      <c r="H37" s="155"/>
      <c r="I37" s="155"/>
      <c r="J37" s="155"/>
      <c r="K37" s="155"/>
      <c r="L37" s="155"/>
      <c r="M37" s="170"/>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6"/>
    </row>
    <row r="38" spans="2:38" s="207" customFormat="1" x14ac:dyDescent="0.2">
      <c r="B38" s="150"/>
      <c r="C38" s="200"/>
      <c r="D38" s="155"/>
      <c r="E38" s="155"/>
      <c r="F38" s="155"/>
      <c r="G38" s="155"/>
      <c r="H38" s="155"/>
      <c r="I38" s="155"/>
      <c r="J38" s="155"/>
      <c r="K38" s="155"/>
      <c r="L38" s="155"/>
      <c r="M38" s="170"/>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row>
    <row r="39" spans="2:38" s="207" customFormat="1" x14ac:dyDescent="0.2">
      <c r="B39" s="150"/>
      <c r="C39" s="200"/>
      <c r="D39" s="155"/>
      <c r="E39" s="155"/>
      <c r="F39" s="155"/>
      <c r="G39" s="155"/>
      <c r="H39" s="155"/>
      <c r="I39" s="155"/>
      <c r="J39" s="155"/>
      <c r="K39" s="155"/>
      <c r="L39" s="155"/>
      <c r="M39" s="170"/>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6"/>
    </row>
    <row r="40" spans="2:38" s="207" customFormat="1" x14ac:dyDescent="0.2">
      <c r="B40" s="150"/>
      <c r="C40" s="200"/>
      <c r="D40" s="155"/>
      <c r="E40" s="155"/>
      <c r="F40" s="155"/>
      <c r="G40" s="155"/>
      <c r="H40" s="155"/>
      <c r="I40" s="155"/>
      <c r="J40" s="155"/>
      <c r="K40" s="155"/>
      <c r="L40" s="155"/>
      <c r="M40" s="170"/>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row>
    <row r="41" spans="2:38" s="207" customFormat="1" x14ac:dyDescent="0.2">
      <c r="B41" s="150"/>
      <c r="C41" s="200"/>
      <c r="D41" s="155"/>
      <c r="E41" s="155"/>
      <c r="F41" s="155"/>
      <c r="G41" s="155"/>
      <c r="H41" s="155"/>
      <c r="I41" s="155"/>
      <c r="J41" s="155"/>
      <c r="K41" s="155"/>
      <c r="L41" s="155"/>
      <c r="M41" s="170"/>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row>
    <row r="42" spans="2:38" s="207" customFormat="1" x14ac:dyDescent="0.2">
      <c r="B42" s="150"/>
      <c r="C42" s="200"/>
      <c r="D42" s="155"/>
      <c r="E42" s="155"/>
      <c r="F42" s="155"/>
      <c r="G42" s="155"/>
      <c r="H42" s="155"/>
      <c r="I42" s="155"/>
      <c r="J42" s="155"/>
      <c r="K42" s="155"/>
      <c r="L42" s="155"/>
      <c r="M42" s="170"/>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row>
  </sheetData>
  <printOptions horizontalCentered="1"/>
  <pageMargins left="0.25" right="0.25" top="0.75" bottom="0.25" header="0.3" footer="0.3"/>
  <pageSetup paperSize="5" scale="105" orientation="landscape" cellComments="asDisplayed" verticalDpi="1200" r:id="rId1"/>
  <headerFooter>
    <oddFooter>&amp;RPage &amp;P of &amp;N</oddFooter>
  </headerFooter>
  <colBreaks count="1" manualBreakCount="1">
    <brk id="20" max="33"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U47"/>
  <sheetViews>
    <sheetView view="pageBreakPreview" topLeftCell="AI1" zoomScale="60" zoomScaleNormal="100" workbookViewId="0">
      <selection activeCell="BQ51" sqref="BQ51"/>
    </sheetView>
  </sheetViews>
  <sheetFormatPr defaultRowHeight="12.75" x14ac:dyDescent="0.2"/>
  <cols>
    <col min="1" max="1" width="9.140625" style="4"/>
    <col min="2" max="2" width="11.140625" style="481" customWidth="1"/>
    <col min="3" max="3" width="36.42578125" style="536" customWidth="1"/>
    <col min="4" max="4" width="13.140625" style="250" customWidth="1"/>
    <col min="5" max="6" width="0.85546875" style="250" customWidth="1"/>
    <col min="7" max="7" width="13.140625" style="250" customWidth="1"/>
    <col min="8" max="9" width="0.85546875" style="250" customWidth="1"/>
    <col min="10" max="10" width="13.140625" style="250" customWidth="1"/>
    <col min="11" max="12" width="0.85546875" style="250" customWidth="1"/>
    <col min="13" max="13" width="13.140625" style="503" customWidth="1"/>
    <col min="14" max="15" width="0.85546875" style="250" customWidth="1"/>
    <col min="16" max="16" width="13.140625" style="250" customWidth="1"/>
    <col min="17" max="18" width="0.85546875" style="250" customWidth="1"/>
    <col min="19" max="19" width="13.140625" style="250" customWidth="1"/>
    <col min="20" max="21" width="0.85546875" style="250" customWidth="1"/>
    <col min="22" max="22" width="13.140625" style="250" customWidth="1"/>
    <col min="23" max="24" width="0.85546875" style="250" customWidth="1"/>
    <col min="25" max="25" width="13.140625" style="250" customWidth="1"/>
    <col min="26" max="26" width="0.85546875" style="250" customWidth="1"/>
    <col min="27" max="27" width="0.7109375" style="250" customWidth="1"/>
    <col min="28" max="28" width="13" style="250" customWidth="1"/>
    <col min="29" max="29" width="1" style="250" customWidth="1"/>
    <col min="30" max="30" width="1.140625" style="250" customWidth="1"/>
    <col min="31" max="31" width="13.7109375" style="250" customWidth="1"/>
    <col min="32" max="32" width="1" style="250" customWidth="1"/>
    <col min="33" max="33" width="1.140625" style="250" customWidth="1"/>
    <col min="34" max="34" width="13.7109375" style="250" customWidth="1"/>
    <col min="35" max="35" width="1" style="250" customWidth="1"/>
    <col min="36" max="36" width="1.140625" style="250" customWidth="1"/>
    <col min="37" max="37" width="13.7109375" style="250" customWidth="1"/>
    <col min="38" max="38" width="16.140625" style="250" customWidth="1"/>
    <col min="39" max="39" width="13.7109375" style="250" customWidth="1"/>
    <col min="40" max="41" width="0.85546875" style="250" customWidth="1"/>
    <col min="42" max="42" width="13.7109375" style="250" customWidth="1"/>
    <col min="43" max="44" width="0.85546875" style="250" customWidth="1"/>
    <col min="45" max="45" width="13.140625" style="250" customWidth="1"/>
    <col min="46" max="47" width="0.85546875" style="250" customWidth="1"/>
    <col min="48" max="48" width="13.140625" style="503" customWidth="1"/>
    <col min="49" max="50" width="0.85546875" style="250" customWidth="1"/>
    <col min="51" max="51" width="13.140625" style="250" customWidth="1"/>
    <col min="52" max="53" width="0.85546875" style="250" customWidth="1"/>
    <col min="54" max="54" width="13.140625" style="250" customWidth="1"/>
    <col min="55" max="56" width="0.85546875" style="250" customWidth="1"/>
    <col min="57" max="57" width="13.140625" style="250" customWidth="1"/>
    <col min="58" max="59" width="0.85546875" style="250" customWidth="1"/>
    <col min="60" max="60" width="13.140625" style="250" customWidth="1"/>
    <col min="61" max="61" width="0.85546875" style="250" customWidth="1"/>
    <col min="62" max="62" width="0.7109375" style="250" customWidth="1"/>
    <col min="63" max="63" width="13" style="250" customWidth="1"/>
    <col min="64" max="64" width="1" style="250" customWidth="1"/>
    <col min="65" max="65" width="1.140625" style="250" customWidth="1"/>
    <col min="66" max="66" width="13.7109375" style="250" customWidth="1"/>
    <col min="67" max="67" width="1" style="250" customWidth="1"/>
    <col min="68" max="68" width="1.140625" style="250" customWidth="1"/>
    <col min="69" max="69" width="13.7109375" style="250" customWidth="1"/>
    <col min="70" max="70" width="1" style="250" customWidth="1"/>
    <col min="71" max="71" width="1.140625" style="250" customWidth="1"/>
    <col min="72" max="72" width="13.7109375" style="250" customWidth="1"/>
    <col min="73" max="73" width="16.140625" style="250" customWidth="1"/>
    <col min="74" max="16384" width="9.140625" style="4"/>
  </cols>
  <sheetData>
    <row r="1" spans="1:73" s="237" customFormat="1" x14ac:dyDescent="0.2">
      <c r="A1" s="538"/>
      <c r="B1" s="539"/>
      <c r="C1" s="540" t="s">
        <v>65</v>
      </c>
      <c r="D1" s="541" t="s">
        <v>66</v>
      </c>
      <c r="E1" s="542"/>
      <c r="F1" s="542"/>
      <c r="G1" s="543" t="s">
        <v>67</v>
      </c>
      <c r="H1" s="542"/>
      <c r="I1" s="542"/>
      <c r="J1" s="543" t="s">
        <v>68</v>
      </c>
      <c r="K1" s="542"/>
      <c r="L1" s="542"/>
      <c r="M1" s="543" t="s">
        <v>69</v>
      </c>
      <c r="N1" s="542"/>
      <c r="O1" s="542"/>
      <c r="P1" s="543" t="s">
        <v>70</v>
      </c>
      <c r="Q1" s="542"/>
      <c r="R1" s="542"/>
      <c r="S1" s="544" t="s">
        <v>71</v>
      </c>
      <c r="T1" s="542"/>
      <c r="U1" s="542"/>
      <c r="V1" s="543" t="s">
        <v>72</v>
      </c>
      <c r="W1" s="542"/>
      <c r="X1" s="542"/>
      <c r="Y1" s="543" t="s">
        <v>73</v>
      </c>
      <c r="Z1" s="542"/>
      <c r="AA1" s="542"/>
      <c r="AB1" s="543" t="s">
        <v>74</v>
      </c>
      <c r="AC1" s="542"/>
      <c r="AD1" s="542"/>
      <c r="AE1" s="543" t="s">
        <v>75</v>
      </c>
      <c r="AF1" s="542"/>
      <c r="AG1" s="542"/>
      <c r="AH1" s="543" t="s">
        <v>76</v>
      </c>
      <c r="AI1" s="542"/>
      <c r="AJ1" s="542"/>
      <c r="AK1" s="543" t="s">
        <v>77</v>
      </c>
      <c r="AL1" s="472" t="s">
        <v>78</v>
      </c>
      <c r="AM1" s="543" t="s">
        <v>79</v>
      </c>
      <c r="AN1" s="542"/>
      <c r="AO1" s="542"/>
      <c r="AP1" s="543" t="s">
        <v>80</v>
      </c>
      <c r="AQ1" s="542"/>
      <c r="AR1" s="542"/>
      <c r="AS1" s="543" t="s">
        <v>81</v>
      </c>
      <c r="AT1" s="542"/>
      <c r="AU1" s="542"/>
      <c r="AV1" s="543" t="s">
        <v>82</v>
      </c>
      <c r="AW1" s="542"/>
      <c r="AX1" s="542"/>
      <c r="AY1" s="543" t="s">
        <v>83</v>
      </c>
      <c r="AZ1" s="542"/>
      <c r="BA1" s="542"/>
      <c r="BB1" s="544" t="s">
        <v>84</v>
      </c>
      <c r="BC1" s="542"/>
      <c r="BD1" s="542"/>
      <c r="BE1" s="543" t="s">
        <v>85</v>
      </c>
      <c r="BF1" s="542"/>
      <c r="BG1" s="542"/>
      <c r="BH1" s="543" t="s">
        <v>86</v>
      </c>
      <c r="BI1" s="542"/>
      <c r="BJ1" s="542"/>
      <c r="BK1" s="543" t="s">
        <v>87</v>
      </c>
      <c r="BL1" s="542"/>
      <c r="BM1" s="542"/>
      <c r="BN1" s="543" t="s">
        <v>88</v>
      </c>
      <c r="BO1" s="542"/>
      <c r="BP1" s="542"/>
      <c r="BQ1" s="543" t="s">
        <v>89</v>
      </c>
      <c r="BR1" s="542"/>
      <c r="BS1" s="542"/>
      <c r="BT1" s="543" t="s">
        <v>90</v>
      </c>
      <c r="BU1" s="472" t="s">
        <v>91</v>
      </c>
    </row>
    <row r="2" spans="1:73" s="250" customFormat="1" ht="44.25" customHeight="1" x14ac:dyDescent="0.2">
      <c r="A2" s="545"/>
      <c r="B2" s="539"/>
      <c r="C2" s="546" t="s">
        <v>302</v>
      </c>
      <c r="D2" s="547"/>
      <c r="E2" s="542"/>
      <c r="F2" s="542"/>
      <c r="G2" s="547"/>
      <c r="H2" s="542"/>
      <c r="I2" s="542"/>
      <c r="J2" s="547"/>
      <c r="K2" s="542"/>
      <c r="L2" s="542"/>
      <c r="M2" s="547"/>
      <c r="N2" s="548"/>
      <c r="O2" s="548"/>
      <c r="P2" s="547"/>
      <c r="Q2" s="542"/>
      <c r="R2" s="542"/>
      <c r="S2" s="547"/>
      <c r="T2" s="545"/>
      <c r="U2" s="545"/>
      <c r="V2" s="549"/>
      <c r="W2" s="545"/>
      <c r="X2" s="545"/>
      <c r="Y2" s="549"/>
      <c r="Z2" s="549"/>
      <c r="AA2" s="549"/>
      <c r="AB2" s="549"/>
      <c r="AC2" s="549"/>
      <c r="AD2" s="549"/>
      <c r="AE2" s="549"/>
      <c r="AF2" s="549"/>
      <c r="AG2" s="549"/>
      <c r="AH2" s="550" t="s">
        <v>303</v>
      </c>
      <c r="AI2" s="549"/>
      <c r="AJ2" s="549"/>
      <c r="AK2" s="549"/>
      <c r="AL2" s="504"/>
      <c r="AM2" s="549"/>
      <c r="AN2" s="542"/>
      <c r="AO2" s="542"/>
      <c r="AP2" s="549"/>
      <c r="AQ2" s="542"/>
      <c r="AR2" s="542"/>
      <c r="AS2" s="547"/>
      <c r="AT2" s="542"/>
      <c r="AU2" s="542"/>
      <c r="AV2" s="547"/>
      <c r="AW2" s="548"/>
      <c r="AX2" s="548"/>
      <c r="AY2" s="547"/>
      <c r="AZ2" s="542"/>
      <c r="BA2" s="542"/>
      <c r="BB2" s="547"/>
      <c r="BC2" s="545"/>
      <c r="BD2" s="545"/>
      <c r="BE2" s="549"/>
      <c r="BF2" s="545"/>
      <c r="BG2" s="545"/>
      <c r="BH2" s="549"/>
      <c r="BI2" s="549"/>
      <c r="BJ2" s="549"/>
      <c r="BK2" s="549"/>
      <c r="BL2" s="549"/>
      <c r="BM2" s="549"/>
      <c r="BN2" s="549"/>
      <c r="BO2" s="549"/>
      <c r="BP2" s="549"/>
      <c r="BQ2" s="550" t="s">
        <v>304</v>
      </c>
      <c r="BR2" s="549"/>
      <c r="BS2" s="549"/>
      <c r="BT2" s="549"/>
      <c r="BU2" s="504"/>
    </row>
    <row r="3" spans="1:73" x14ac:dyDescent="0.2">
      <c r="A3" s="481" t="s">
        <v>92</v>
      </c>
      <c r="C3" s="551"/>
      <c r="D3" s="483">
        <v>0</v>
      </c>
      <c r="G3" s="483">
        <f>D36</f>
        <v>216858.37</v>
      </c>
      <c r="J3" s="483">
        <f>G36</f>
        <v>200716.74</v>
      </c>
      <c r="M3" s="484">
        <f>J36</f>
        <v>184575.11</v>
      </c>
      <c r="P3" s="483">
        <f>M36</f>
        <v>168433.47999999998</v>
      </c>
      <c r="S3" s="483">
        <f>P36</f>
        <v>152291.84999999998</v>
      </c>
      <c r="V3" s="483">
        <f>S36</f>
        <v>136150.21999999997</v>
      </c>
      <c r="Y3" s="483">
        <f>V36</f>
        <v>120008.58999999997</v>
      </c>
      <c r="Z3" s="483"/>
      <c r="AA3" s="483"/>
      <c r="AB3" s="483">
        <f>Y36</f>
        <v>103866.95999999996</v>
      </c>
      <c r="AC3" s="483"/>
      <c r="AD3" s="483"/>
      <c r="AE3" s="483">
        <f>AB36</f>
        <v>87725.329999999958</v>
      </c>
      <c r="AF3" s="483"/>
      <c r="AG3" s="483"/>
      <c r="AH3" s="483">
        <f>AE36</f>
        <v>71583.699999999953</v>
      </c>
      <c r="AI3" s="483"/>
      <c r="AJ3" s="483"/>
      <c r="AK3" s="483">
        <f>AH36</f>
        <v>31442.069999999956</v>
      </c>
      <c r="AL3" s="504"/>
      <c r="AM3" s="483">
        <v>0</v>
      </c>
      <c r="AP3" s="483">
        <f>AM36</f>
        <v>248661.34</v>
      </c>
      <c r="AS3" s="483">
        <f>AP36</f>
        <v>232022.24</v>
      </c>
      <c r="AV3" s="484">
        <f>AS36</f>
        <v>215383.13999999998</v>
      </c>
      <c r="AY3" s="483">
        <f>AV36</f>
        <v>198744.03999999998</v>
      </c>
      <c r="BB3" s="483">
        <f>AY36</f>
        <v>182104.93999999997</v>
      </c>
      <c r="BE3" s="483">
        <f>BB36</f>
        <v>165465.83999999997</v>
      </c>
      <c r="BH3" s="483">
        <f>BE36</f>
        <v>148826.73999999996</v>
      </c>
      <c r="BI3" s="483"/>
      <c r="BJ3" s="483"/>
      <c r="BK3" s="483">
        <f>BH36</f>
        <v>132187.63999999996</v>
      </c>
      <c r="BL3" s="483"/>
      <c r="BM3" s="483"/>
      <c r="BN3" s="483">
        <f>BK36</f>
        <v>115548.53999999995</v>
      </c>
      <c r="BO3" s="483"/>
      <c r="BP3" s="483"/>
      <c r="BQ3" s="483">
        <f>BN36</f>
        <v>98909.439999999944</v>
      </c>
      <c r="BR3" s="483"/>
      <c r="BS3" s="483"/>
      <c r="BT3" s="483">
        <f>BQ36</f>
        <v>63270.339999999946</v>
      </c>
      <c r="BU3" s="504"/>
    </row>
    <row r="4" spans="1:73" ht="6" customHeight="1" x14ac:dyDescent="0.2">
      <c r="A4" s="481"/>
      <c r="C4" s="551"/>
      <c r="D4" s="483"/>
      <c r="G4" s="483"/>
      <c r="J4" s="483"/>
      <c r="M4" s="486"/>
      <c r="P4" s="483"/>
      <c r="S4" s="483"/>
      <c r="V4" s="483"/>
      <c r="Y4" s="483"/>
      <c r="Z4" s="483"/>
      <c r="AA4" s="483"/>
      <c r="AB4" s="483"/>
      <c r="AC4" s="483"/>
      <c r="AD4" s="483"/>
      <c r="AE4" s="483"/>
      <c r="AF4" s="483"/>
      <c r="AG4" s="483"/>
      <c r="AH4" s="483"/>
      <c r="AI4" s="483"/>
      <c r="AJ4" s="483"/>
      <c r="AK4" s="483"/>
      <c r="AL4" s="504"/>
      <c r="AM4" s="483"/>
      <c r="AP4" s="483"/>
      <c r="AS4" s="483"/>
      <c r="AV4" s="486"/>
      <c r="AY4" s="483"/>
      <c r="BB4" s="483"/>
      <c r="BE4" s="483"/>
      <c r="BH4" s="483"/>
      <c r="BI4" s="483"/>
      <c r="BJ4" s="483"/>
      <c r="BK4" s="483"/>
      <c r="BL4" s="483"/>
      <c r="BM4" s="483"/>
      <c r="BN4" s="483"/>
      <c r="BO4" s="483"/>
      <c r="BP4" s="483"/>
      <c r="BQ4" s="483"/>
      <c r="BR4" s="483"/>
      <c r="BS4" s="483"/>
      <c r="BT4" s="483"/>
      <c r="BU4" s="504"/>
    </row>
    <row r="5" spans="1:73" ht="15.75" x14ac:dyDescent="0.2">
      <c r="A5" s="487" t="s">
        <v>93</v>
      </c>
      <c r="C5" s="488"/>
      <c r="D5" s="491"/>
      <c r="E5" s="490"/>
      <c r="F5" s="490"/>
      <c r="G5" s="491"/>
      <c r="H5" s="490"/>
      <c r="I5" s="490"/>
      <c r="J5" s="491"/>
      <c r="K5" s="490"/>
      <c r="L5" s="490"/>
      <c r="M5" s="492"/>
      <c r="N5" s="493"/>
      <c r="O5" s="493"/>
      <c r="P5" s="491"/>
      <c r="Q5" s="490"/>
      <c r="R5" s="490"/>
      <c r="S5" s="491"/>
      <c r="V5" s="483"/>
      <c r="Y5" s="489"/>
      <c r="Z5" s="489"/>
      <c r="AA5" s="489"/>
      <c r="AB5" s="483"/>
      <c r="AC5" s="483"/>
      <c r="AD5" s="483"/>
      <c r="AE5" s="483"/>
      <c r="AF5" s="483"/>
      <c r="AG5" s="483"/>
      <c r="AH5" s="483"/>
      <c r="AI5" s="483"/>
      <c r="AJ5" s="483"/>
      <c r="AK5" s="483"/>
      <c r="AL5" s="504"/>
      <c r="AM5" s="483"/>
      <c r="AN5" s="490"/>
      <c r="AO5" s="490"/>
      <c r="AP5" s="483"/>
      <c r="AQ5" s="490"/>
      <c r="AR5" s="490"/>
      <c r="AS5" s="491"/>
      <c r="AT5" s="490"/>
      <c r="AU5" s="490"/>
      <c r="AV5" s="492"/>
      <c r="AW5" s="493"/>
      <c r="AX5" s="493"/>
      <c r="AY5" s="491"/>
      <c r="AZ5" s="490"/>
      <c r="BA5" s="490"/>
      <c r="BB5" s="491"/>
      <c r="BE5" s="483"/>
      <c r="BH5" s="489"/>
      <c r="BI5" s="489"/>
      <c r="BJ5" s="489"/>
      <c r="BK5" s="483"/>
      <c r="BL5" s="483"/>
      <c r="BM5" s="483"/>
      <c r="BN5" s="483"/>
      <c r="BO5" s="483"/>
      <c r="BP5" s="483"/>
      <c r="BQ5" s="483"/>
      <c r="BR5" s="483"/>
      <c r="BS5" s="483"/>
      <c r="BT5" s="483"/>
      <c r="BU5" s="504"/>
    </row>
    <row r="6" spans="1:73" ht="15.75" x14ac:dyDescent="0.2">
      <c r="B6" s="487"/>
      <c r="C6" s="495" t="s">
        <v>111</v>
      </c>
      <c r="D6" s="491"/>
      <c r="E6" s="490"/>
      <c r="F6" s="490"/>
      <c r="G6" s="491"/>
      <c r="H6" s="490"/>
      <c r="I6" s="490"/>
      <c r="J6" s="491"/>
      <c r="K6" s="490"/>
      <c r="L6" s="490"/>
      <c r="M6" s="492"/>
      <c r="N6" s="493"/>
      <c r="O6" s="493"/>
      <c r="P6" s="491"/>
      <c r="Q6" s="490"/>
      <c r="R6" s="490"/>
      <c r="S6" s="491"/>
      <c r="V6" s="483"/>
      <c r="Y6" s="489"/>
      <c r="Z6" s="489"/>
      <c r="AA6" s="489"/>
      <c r="AB6" s="483"/>
      <c r="AC6" s="483"/>
      <c r="AD6" s="483"/>
      <c r="AE6" s="483"/>
      <c r="AF6" s="483"/>
      <c r="AG6" s="483"/>
      <c r="AH6" s="483"/>
      <c r="AI6" s="483"/>
      <c r="AJ6" s="483"/>
      <c r="AK6" s="238">
        <v>250000</v>
      </c>
      <c r="AL6" s="504"/>
      <c r="AM6" s="483"/>
      <c r="AN6" s="490"/>
      <c r="AO6" s="490"/>
      <c r="AP6" s="483"/>
      <c r="AQ6" s="490"/>
      <c r="AR6" s="490"/>
      <c r="AS6" s="491"/>
      <c r="AT6" s="490"/>
      <c r="AU6" s="490"/>
      <c r="AV6" s="492"/>
      <c r="AW6" s="493"/>
      <c r="AX6" s="493"/>
      <c r="AY6" s="491"/>
      <c r="AZ6" s="490"/>
      <c r="BA6" s="490"/>
      <c r="BB6" s="491"/>
      <c r="BE6" s="483"/>
      <c r="BH6" s="489"/>
      <c r="BI6" s="489"/>
      <c r="BJ6" s="489"/>
      <c r="BK6" s="483"/>
      <c r="BL6" s="483"/>
      <c r="BM6" s="483"/>
      <c r="BN6" s="483"/>
      <c r="BO6" s="483"/>
      <c r="BP6" s="483"/>
      <c r="BQ6" s="483"/>
      <c r="BR6" s="483"/>
      <c r="BS6" s="483"/>
      <c r="BT6" s="238"/>
      <c r="BU6" s="504"/>
    </row>
    <row r="7" spans="1:73" s="552" customFormat="1" ht="15" x14ac:dyDescent="0.2">
      <c r="B7" s="497"/>
      <c r="C7" s="495" t="s">
        <v>112</v>
      </c>
      <c r="D7" s="238">
        <v>234000</v>
      </c>
      <c r="E7" s="237"/>
      <c r="F7" s="498"/>
      <c r="G7" s="238"/>
      <c r="H7" s="237"/>
      <c r="I7" s="498"/>
      <c r="J7" s="238"/>
      <c r="K7" s="237"/>
      <c r="L7" s="498"/>
      <c r="M7" s="499"/>
      <c r="N7" s="237"/>
      <c r="O7" s="498"/>
      <c r="P7" s="238"/>
      <c r="Q7" s="237"/>
      <c r="R7" s="498"/>
      <c r="S7" s="238"/>
      <c r="T7" s="237"/>
      <c r="U7" s="498"/>
      <c r="V7" s="238"/>
      <c r="W7" s="237"/>
      <c r="X7" s="498"/>
      <c r="Y7" s="498"/>
      <c r="Z7" s="498"/>
      <c r="AA7" s="498"/>
      <c r="AB7" s="238"/>
      <c r="AC7" s="238"/>
      <c r="AD7" s="238"/>
      <c r="AE7" s="238"/>
      <c r="AF7" s="238"/>
      <c r="AG7" s="238"/>
      <c r="AI7" s="238"/>
      <c r="AJ7" s="238"/>
      <c r="AK7" s="553">
        <v>-265300.44</v>
      </c>
      <c r="AL7" s="554">
        <f>SUM(D6:AK7)</f>
        <v>218699.56</v>
      </c>
      <c r="AM7" s="238">
        <f>-AK7</f>
        <v>265300.44</v>
      </c>
      <c r="AN7" s="237"/>
      <c r="AO7" s="498"/>
      <c r="AP7" s="238"/>
      <c r="AQ7" s="237"/>
      <c r="AR7" s="498"/>
      <c r="AS7" s="238"/>
      <c r="AT7" s="237"/>
      <c r="AU7" s="498"/>
      <c r="AV7" s="499"/>
      <c r="AW7" s="237"/>
      <c r="AX7" s="498"/>
      <c r="AY7" s="238"/>
      <c r="AZ7" s="237"/>
      <c r="BA7" s="498"/>
      <c r="BB7" s="238"/>
      <c r="BC7" s="237"/>
      <c r="BD7" s="498"/>
      <c r="BE7" s="238"/>
      <c r="BF7" s="237"/>
      <c r="BG7" s="498"/>
      <c r="BH7" s="498"/>
      <c r="BI7" s="498"/>
      <c r="BJ7" s="498"/>
      <c r="BK7" s="238"/>
      <c r="BL7" s="238"/>
      <c r="BM7" s="238"/>
      <c r="BN7" s="238"/>
      <c r="BO7" s="238"/>
      <c r="BP7" s="238"/>
      <c r="BR7" s="238"/>
      <c r="BS7" s="238"/>
      <c r="BT7" s="553">
        <v>-63270.34</v>
      </c>
      <c r="BU7" s="554">
        <f>SUM(AM6:BT7)</f>
        <v>202030.1</v>
      </c>
    </row>
    <row r="8" spans="1:73" ht="6" customHeight="1" x14ac:dyDescent="0.2">
      <c r="C8" s="551"/>
      <c r="D8" s="483"/>
      <c r="G8" s="483"/>
      <c r="J8" s="483"/>
      <c r="M8" s="486"/>
      <c r="P8" s="483"/>
      <c r="S8" s="483"/>
      <c r="V8" s="483"/>
      <c r="Y8" s="483"/>
      <c r="Z8" s="483"/>
      <c r="AA8" s="483"/>
      <c r="AB8" s="483"/>
      <c r="AC8" s="483"/>
      <c r="AD8" s="483"/>
      <c r="AE8" s="483"/>
      <c r="AF8" s="483"/>
      <c r="AG8" s="483"/>
      <c r="AH8" s="483"/>
      <c r="AI8" s="483"/>
      <c r="AJ8" s="483"/>
      <c r="AK8" s="483"/>
      <c r="AL8" s="504"/>
      <c r="AM8" s="483"/>
      <c r="AP8" s="483"/>
      <c r="AS8" s="483"/>
      <c r="AV8" s="486"/>
      <c r="AY8" s="483"/>
      <c r="BB8" s="483"/>
      <c r="BE8" s="483"/>
      <c r="BH8" s="483"/>
      <c r="BI8" s="483"/>
      <c r="BJ8" s="483"/>
      <c r="BK8" s="483"/>
      <c r="BL8" s="483"/>
      <c r="BM8" s="483"/>
      <c r="BN8" s="483"/>
      <c r="BO8" s="483"/>
      <c r="BP8" s="483"/>
      <c r="BQ8" s="483"/>
      <c r="BR8" s="483"/>
      <c r="BS8" s="483"/>
      <c r="BT8" s="483"/>
      <c r="BU8" s="504"/>
    </row>
    <row r="9" spans="1:73" ht="15.75" x14ac:dyDescent="0.2">
      <c r="A9" s="487" t="s">
        <v>94</v>
      </c>
      <c r="C9" s="555"/>
      <c r="F9" s="483"/>
      <c r="I9" s="483"/>
      <c r="L9" s="483"/>
      <c r="O9" s="483"/>
      <c r="R9" s="483"/>
      <c r="U9" s="483"/>
      <c r="X9" s="483"/>
      <c r="AL9" s="485"/>
      <c r="AO9" s="483"/>
      <c r="AR9" s="483"/>
      <c r="AU9" s="483"/>
      <c r="AX9" s="483"/>
      <c r="BA9" s="483"/>
      <c r="BD9" s="483"/>
      <c r="BG9" s="483"/>
      <c r="BU9" s="485"/>
    </row>
    <row r="10" spans="1:73" ht="15.75" x14ac:dyDescent="0.2">
      <c r="A10" s="480" t="s">
        <v>95</v>
      </c>
      <c r="C10" s="555"/>
      <c r="F10" s="483"/>
      <c r="I10" s="483"/>
      <c r="L10" s="483"/>
      <c r="O10" s="483"/>
      <c r="R10" s="483"/>
      <c r="U10" s="483"/>
      <c r="X10" s="483"/>
      <c r="AL10" s="485"/>
      <c r="AO10" s="483"/>
      <c r="AR10" s="483"/>
      <c r="AU10" s="483"/>
      <c r="AX10" s="483"/>
      <c r="BA10" s="483"/>
      <c r="BD10" s="483"/>
      <c r="BG10" s="483"/>
      <c r="BU10" s="485"/>
    </row>
    <row r="11" spans="1:73" s="250" customFormat="1" x14ac:dyDescent="0.2">
      <c r="B11" s="250" t="s">
        <v>96</v>
      </c>
      <c r="C11" s="506"/>
      <c r="M11" s="503"/>
      <c r="AL11" s="485"/>
      <c r="AV11" s="503"/>
      <c r="BU11" s="485"/>
    </row>
    <row r="12" spans="1:73" s="513" customFormat="1" ht="13.5" customHeight="1" x14ac:dyDescent="0.2">
      <c r="A12" s="556">
        <v>60011</v>
      </c>
      <c r="B12" s="508">
        <v>199700</v>
      </c>
      <c r="C12" s="509" t="s">
        <v>262</v>
      </c>
      <c r="D12" s="510">
        <f>'Chair FY11'!F11</f>
        <v>3328.33</v>
      </c>
      <c r="E12" s="510"/>
      <c r="F12" s="510"/>
      <c r="G12" s="510">
        <f>'Chair FY11'!J11</f>
        <v>3328.33</v>
      </c>
      <c r="H12" s="510"/>
      <c r="I12" s="510"/>
      <c r="J12" s="510">
        <f>'Chair FY11'!N11</f>
        <v>3328.33</v>
      </c>
      <c r="K12" s="510"/>
      <c r="L12" s="510"/>
      <c r="M12" s="510">
        <f>'Chair FY11'!S11</f>
        <v>3328.33</v>
      </c>
      <c r="N12" s="510"/>
      <c r="O12" s="510"/>
      <c r="P12" s="510">
        <f>'Chair FY11'!W11</f>
        <v>3328.33</v>
      </c>
      <c r="Q12" s="510"/>
      <c r="R12" s="510"/>
      <c r="S12" s="510">
        <f>'Chair FY11'!AA11</f>
        <v>3328.33</v>
      </c>
      <c r="T12" s="510"/>
      <c r="U12" s="510"/>
      <c r="V12" s="510">
        <f>'Chair FY11'!AF11</f>
        <v>3328.33</v>
      </c>
      <c r="W12" s="510"/>
      <c r="X12" s="510"/>
      <c r="Y12" s="510">
        <f>'Chair FY11'!AJ11</f>
        <v>3328.33</v>
      </c>
      <c r="Z12" s="510"/>
      <c r="AA12" s="510"/>
      <c r="AB12" s="510">
        <f>'Chair FY11'!AN11</f>
        <v>3328.33</v>
      </c>
      <c r="AC12" s="510"/>
      <c r="AD12" s="510"/>
      <c r="AE12" s="510">
        <f>'Chair FY11'!AS11</f>
        <v>3328.33</v>
      </c>
      <c r="AF12" s="510"/>
      <c r="AG12" s="510"/>
      <c r="AH12" s="510">
        <f>'Chair FY11'!AW11</f>
        <v>3328.33</v>
      </c>
      <c r="AI12" s="510"/>
      <c r="AJ12" s="510"/>
      <c r="AK12" s="510">
        <f>'Chair FY11'!BA11</f>
        <v>3328.33</v>
      </c>
      <c r="AL12" s="512">
        <f>SUM(D12:AK12)</f>
        <v>39939.960000000014</v>
      </c>
      <c r="AM12" s="510">
        <f>ROUND(AK12*1.03,2)</f>
        <v>3428.18</v>
      </c>
      <c r="AN12" s="510"/>
      <c r="AO12" s="510"/>
      <c r="AP12" s="510">
        <f>AM12</f>
        <v>3428.18</v>
      </c>
      <c r="AQ12" s="510"/>
      <c r="AR12" s="510"/>
      <c r="AS12" s="510">
        <f t="shared" ref="AS12:AS17" si="0">AP12</f>
        <v>3428.18</v>
      </c>
      <c r="AT12" s="510"/>
      <c r="AU12" s="510"/>
      <c r="AV12" s="510">
        <f t="shared" ref="AV12:AV17" si="1">AS12</f>
        <v>3428.18</v>
      </c>
      <c r="AW12" s="510"/>
      <c r="AX12" s="510"/>
      <c r="AY12" s="510">
        <f t="shared" ref="AY12:AY17" si="2">AV12</f>
        <v>3428.18</v>
      </c>
      <c r="AZ12" s="510"/>
      <c r="BA12" s="510"/>
      <c r="BB12" s="510">
        <f t="shared" ref="BB12:BB17" si="3">AY12</f>
        <v>3428.18</v>
      </c>
      <c r="BC12" s="510"/>
      <c r="BD12" s="510"/>
      <c r="BE12" s="510">
        <f t="shared" ref="BE12:BE17" si="4">BB12</f>
        <v>3428.18</v>
      </c>
      <c r="BF12" s="510"/>
      <c r="BG12" s="510"/>
      <c r="BH12" s="510">
        <f t="shared" ref="BH12:BH17" si="5">BE12</f>
        <v>3428.18</v>
      </c>
      <c r="BI12" s="510"/>
      <c r="BJ12" s="510"/>
      <c r="BK12" s="510">
        <f t="shared" ref="BK12:BK17" si="6">BH12</f>
        <v>3428.18</v>
      </c>
      <c r="BL12" s="510"/>
      <c r="BM12" s="510"/>
      <c r="BN12" s="510">
        <f t="shared" ref="BN12:BN17" si="7">BK12</f>
        <v>3428.18</v>
      </c>
      <c r="BO12" s="510"/>
      <c r="BP12" s="510"/>
      <c r="BQ12" s="510">
        <f t="shared" ref="BQ12:BQ17" si="8">BN12</f>
        <v>3428.18</v>
      </c>
      <c r="BR12" s="510"/>
      <c r="BS12" s="510"/>
      <c r="BT12" s="510">
        <v>0</v>
      </c>
      <c r="BU12" s="512">
        <f>SUM(AM12:BT12)</f>
        <v>37709.979999999996</v>
      </c>
    </row>
    <row r="13" spans="1:73" s="513" customFormat="1" ht="26.25" customHeight="1" x14ac:dyDescent="0.2">
      <c r="A13" s="557">
        <v>60011</v>
      </c>
      <c r="B13" s="558">
        <v>199700</v>
      </c>
      <c r="C13" s="559" t="s">
        <v>284</v>
      </c>
      <c r="D13" s="560">
        <f>ROUND(($B13/12)*0.25,2)</f>
        <v>4160.42</v>
      </c>
      <c r="E13" s="560"/>
      <c r="F13" s="560"/>
      <c r="G13" s="560">
        <f>ROUND(($B13/12)*0.25,2)</f>
        <v>4160.42</v>
      </c>
      <c r="H13" s="560"/>
      <c r="I13" s="560"/>
      <c r="J13" s="560">
        <f t="shared" ref="J13" si="9">ROUND(($B13/12)*0.25,2)</f>
        <v>4160.42</v>
      </c>
      <c r="K13" s="560"/>
      <c r="L13" s="560"/>
      <c r="M13" s="560">
        <f t="shared" ref="M13" si="10">ROUND(($B13/12)*0.25,2)</f>
        <v>4160.42</v>
      </c>
      <c r="N13" s="560"/>
      <c r="O13" s="560"/>
      <c r="P13" s="560">
        <f t="shared" ref="P13" si="11">ROUND(($B13/12)*0.25,2)</f>
        <v>4160.42</v>
      </c>
      <c r="Q13" s="560"/>
      <c r="R13" s="560"/>
      <c r="S13" s="560">
        <f t="shared" ref="S13" si="12">ROUND(($B13/12)*0.25,2)</f>
        <v>4160.42</v>
      </c>
      <c r="T13" s="560"/>
      <c r="U13" s="560"/>
      <c r="V13" s="560">
        <f t="shared" ref="V13" si="13">ROUND(($B13/12)*0.25,2)</f>
        <v>4160.42</v>
      </c>
      <c r="W13" s="560"/>
      <c r="X13" s="560"/>
      <c r="Y13" s="560">
        <f t="shared" ref="Y13" si="14">ROUND(($B13/12)*0.25,2)</f>
        <v>4160.42</v>
      </c>
      <c r="Z13" s="560"/>
      <c r="AA13" s="560"/>
      <c r="AB13" s="560">
        <f t="shared" ref="AB13" si="15">ROUND(($B13/12)*0.25,2)</f>
        <v>4160.42</v>
      </c>
      <c r="AC13" s="560"/>
      <c r="AD13" s="560"/>
      <c r="AE13" s="560">
        <f t="shared" ref="AE13" si="16">ROUND(($B13/12)*0.25,2)</f>
        <v>4160.42</v>
      </c>
      <c r="AF13" s="560"/>
      <c r="AG13" s="560"/>
      <c r="AH13" s="560">
        <f t="shared" ref="AH13" si="17">ROUND(($B13/12)*0.25,2)</f>
        <v>4160.42</v>
      </c>
      <c r="AI13" s="560"/>
      <c r="AJ13" s="560"/>
      <c r="AK13" s="560">
        <f t="shared" ref="AK13" si="18">ROUND(($B13/12)*0.25,2)</f>
        <v>4160.42</v>
      </c>
      <c r="AL13" s="512">
        <f t="shared" ref="AL13:AL14" si="19">SUM(D13:AK13)</f>
        <v>49925.039999999986</v>
      </c>
      <c r="AM13" s="560">
        <f t="shared" ref="AM13:AM17" si="20">ROUND(AK13*1.03,2)</f>
        <v>4285.2299999999996</v>
      </c>
      <c r="AN13" s="560"/>
      <c r="AO13" s="560"/>
      <c r="AP13" s="560">
        <f t="shared" ref="AP13:AP17" si="21">AM13</f>
        <v>4285.2299999999996</v>
      </c>
      <c r="AQ13" s="560"/>
      <c r="AR13" s="560"/>
      <c r="AS13" s="560">
        <f t="shared" si="0"/>
        <v>4285.2299999999996</v>
      </c>
      <c r="AT13" s="560"/>
      <c r="AU13" s="560"/>
      <c r="AV13" s="560">
        <f t="shared" si="1"/>
        <v>4285.2299999999996</v>
      </c>
      <c r="AW13" s="560"/>
      <c r="AX13" s="560"/>
      <c r="AY13" s="560">
        <f t="shared" si="2"/>
        <v>4285.2299999999996</v>
      </c>
      <c r="AZ13" s="560"/>
      <c r="BA13" s="560"/>
      <c r="BB13" s="560">
        <f t="shared" si="3"/>
        <v>4285.2299999999996</v>
      </c>
      <c r="BC13" s="560"/>
      <c r="BD13" s="560"/>
      <c r="BE13" s="560">
        <f t="shared" si="4"/>
        <v>4285.2299999999996</v>
      </c>
      <c r="BF13" s="560"/>
      <c r="BG13" s="560"/>
      <c r="BH13" s="560">
        <f t="shared" si="5"/>
        <v>4285.2299999999996</v>
      </c>
      <c r="BI13" s="560"/>
      <c r="BJ13" s="560"/>
      <c r="BK13" s="560">
        <f t="shared" si="6"/>
        <v>4285.2299999999996</v>
      </c>
      <c r="BL13" s="560"/>
      <c r="BM13" s="560"/>
      <c r="BN13" s="560">
        <f t="shared" si="7"/>
        <v>4285.2299999999996</v>
      </c>
      <c r="BO13" s="560"/>
      <c r="BP13" s="560"/>
      <c r="BQ13" s="560">
        <f t="shared" si="8"/>
        <v>4285.2299999999996</v>
      </c>
      <c r="BR13" s="560"/>
      <c r="BS13" s="560"/>
      <c r="BT13" s="560">
        <v>0</v>
      </c>
      <c r="BU13" s="512">
        <f t="shared" ref="BU13:BU14" si="22">SUM(AM13:BT13)</f>
        <v>47137.529999999984</v>
      </c>
    </row>
    <row r="14" spans="1:73" s="513" customFormat="1" ht="26.25" customHeight="1" x14ac:dyDescent="0.2">
      <c r="A14" s="557">
        <v>60011</v>
      </c>
      <c r="B14" s="558">
        <v>150000</v>
      </c>
      <c r="C14" s="559" t="s">
        <v>285</v>
      </c>
      <c r="D14" s="560">
        <f>ROUND(($B14/12)*0.1,2)</f>
        <v>1250</v>
      </c>
      <c r="E14" s="560"/>
      <c r="F14" s="560"/>
      <c r="G14" s="560">
        <f>ROUND(($B14/12)*0.1,2)</f>
        <v>1250</v>
      </c>
      <c r="H14" s="560"/>
      <c r="I14" s="560"/>
      <c r="J14" s="560">
        <f t="shared" ref="J14" si="23">ROUND(($B14/12)*0.1,2)</f>
        <v>1250</v>
      </c>
      <c r="K14" s="560"/>
      <c r="L14" s="560"/>
      <c r="M14" s="560">
        <f t="shared" ref="M14" si="24">ROUND(($B14/12)*0.1,2)</f>
        <v>1250</v>
      </c>
      <c r="N14" s="560"/>
      <c r="O14" s="560"/>
      <c r="P14" s="560">
        <f t="shared" ref="P14" si="25">ROUND(($B14/12)*0.1,2)</f>
        <v>1250</v>
      </c>
      <c r="Q14" s="560"/>
      <c r="R14" s="560"/>
      <c r="S14" s="560">
        <f t="shared" ref="S14" si="26">ROUND(($B14/12)*0.1,2)</f>
        <v>1250</v>
      </c>
      <c r="T14" s="560"/>
      <c r="U14" s="560"/>
      <c r="V14" s="560">
        <f t="shared" ref="V14" si="27">ROUND(($B14/12)*0.1,2)</f>
        <v>1250</v>
      </c>
      <c r="W14" s="560"/>
      <c r="X14" s="560"/>
      <c r="Y14" s="560">
        <f t="shared" ref="Y14" si="28">ROUND(($B14/12)*0.1,2)</f>
        <v>1250</v>
      </c>
      <c r="Z14" s="560"/>
      <c r="AA14" s="560"/>
      <c r="AB14" s="560">
        <f t="shared" ref="AB14" si="29">ROUND(($B14/12)*0.1,2)</f>
        <v>1250</v>
      </c>
      <c r="AC14" s="560"/>
      <c r="AD14" s="560"/>
      <c r="AE14" s="560">
        <f t="shared" ref="AE14" si="30">ROUND(($B14/12)*0.1,2)</f>
        <v>1250</v>
      </c>
      <c r="AF14" s="560"/>
      <c r="AG14" s="560"/>
      <c r="AH14" s="560">
        <f t="shared" ref="AH14" si="31">ROUND(($B14/12)*0.1,2)</f>
        <v>1250</v>
      </c>
      <c r="AI14" s="560"/>
      <c r="AJ14" s="560"/>
      <c r="AK14" s="560">
        <f t="shared" ref="AK14" si="32">ROUND(($B14/12)*0.1,2)</f>
        <v>1250</v>
      </c>
      <c r="AL14" s="512">
        <f t="shared" si="19"/>
        <v>15000</v>
      </c>
      <c r="AM14" s="560">
        <f t="shared" si="20"/>
        <v>1287.5</v>
      </c>
      <c r="AN14" s="560"/>
      <c r="AO14" s="560"/>
      <c r="AP14" s="560">
        <f t="shared" si="21"/>
        <v>1287.5</v>
      </c>
      <c r="AQ14" s="560"/>
      <c r="AR14" s="560"/>
      <c r="AS14" s="560">
        <f t="shared" si="0"/>
        <v>1287.5</v>
      </c>
      <c r="AT14" s="560"/>
      <c r="AU14" s="560"/>
      <c r="AV14" s="560">
        <f t="shared" si="1"/>
        <v>1287.5</v>
      </c>
      <c r="AW14" s="560"/>
      <c r="AX14" s="560"/>
      <c r="AY14" s="560">
        <f t="shared" si="2"/>
        <v>1287.5</v>
      </c>
      <c r="AZ14" s="560"/>
      <c r="BA14" s="560"/>
      <c r="BB14" s="560">
        <f t="shared" si="3"/>
        <v>1287.5</v>
      </c>
      <c r="BC14" s="560"/>
      <c r="BD14" s="560"/>
      <c r="BE14" s="560">
        <f t="shared" si="4"/>
        <v>1287.5</v>
      </c>
      <c r="BF14" s="560"/>
      <c r="BG14" s="560"/>
      <c r="BH14" s="560">
        <f t="shared" si="5"/>
        <v>1287.5</v>
      </c>
      <c r="BI14" s="560"/>
      <c r="BJ14" s="560"/>
      <c r="BK14" s="560">
        <f t="shared" si="6"/>
        <v>1287.5</v>
      </c>
      <c r="BL14" s="560"/>
      <c r="BM14" s="560"/>
      <c r="BN14" s="560">
        <f t="shared" si="7"/>
        <v>1287.5</v>
      </c>
      <c r="BO14" s="560"/>
      <c r="BP14" s="560"/>
      <c r="BQ14" s="560">
        <f t="shared" si="8"/>
        <v>1287.5</v>
      </c>
      <c r="BR14" s="560"/>
      <c r="BS14" s="560"/>
      <c r="BT14" s="560">
        <v>0</v>
      </c>
      <c r="BU14" s="512">
        <f t="shared" si="22"/>
        <v>14162.5</v>
      </c>
    </row>
    <row r="15" spans="1:73" s="513" customFormat="1" ht="26.25" customHeight="1" x14ac:dyDescent="0.2">
      <c r="A15" s="557">
        <v>60011</v>
      </c>
      <c r="B15" s="558">
        <v>100000</v>
      </c>
      <c r="C15" s="559" t="s">
        <v>286</v>
      </c>
      <c r="D15" s="560">
        <f>ROUND(($B15/12)*0.05,2)</f>
        <v>416.67</v>
      </c>
      <c r="E15" s="560"/>
      <c r="F15" s="560"/>
      <c r="G15" s="560">
        <f>ROUND(($B15/12)*0.05,2)</f>
        <v>416.67</v>
      </c>
      <c r="H15" s="560"/>
      <c r="I15" s="560"/>
      <c r="J15" s="560">
        <f t="shared" ref="J15" si="33">ROUND(($B15/12)*0.05,2)</f>
        <v>416.67</v>
      </c>
      <c r="K15" s="560"/>
      <c r="L15" s="560"/>
      <c r="M15" s="560">
        <f t="shared" ref="M15" si="34">ROUND(($B15/12)*0.05,2)</f>
        <v>416.67</v>
      </c>
      <c r="N15" s="560"/>
      <c r="O15" s="560"/>
      <c r="P15" s="560">
        <f t="shared" ref="P15" si="35">ROUND(($B15/12)*0.05,2)</f>
        <v>416.67</v>
      </c>
      <c r="Q15" s="560"/>
      <c r="R15" s="560"/>
      <c r="S15" s="560">
        <f t="shared" ref="S15" si="36">ROUND(($B15/12)*0.05,2)</f>
        <v>416.67</v>
      </c>
      <c r="T15" s="560"/>
      <c r="U15" s="560"/>
      <c r="V15" s="560">
        <f t="shared" ref="V15" si="37">ROUND(($B15/12)*0.05,2)</f>
        <v>416.67</v>
      </c>
      <c r="W15" s="560"/>
      <c r="X15" s="560"/>
      <c r="Y15" s="560">
        <f t="shared" ref="Y15" si="38">ROUND(($B15/12)*0.05,2)</f>
        <v>416.67</v>
      </c>
      <c r="Z15" s="560"/>
      <c r="AA15" s="560"/>
      <c r="AB15" s="560">
        <f t="shared" ref="AB15" si="39">ROUND(($B15/12)*0.05,2)</f>
        <v>416.67</v>
      </c>
      <c r="AC15" s="560"/>
      <c r="AD15" s="560"/>
      <c r="AE15" s="560">
        <f t="shared" ref="AE15" si="40">ROUND(($B15/12)*0.05,2)</f>
        <v>416.67</v>
      </c>
      <c r="AF15" s="560"/>
      <c r="AG15" s="560"/>
      <c r="AH15" s="560">
        <f t="shared" ref="AH15" si="41">ROUND(($B15/12)*0.05,2)</f>
        <v>416.67</v>
      </c>
      <c r="AI15" s="560"/>
      <c r="AJ15" s="560"/>
      <c r="AK15" s="560">
        <f t="shared" ref="AK15" si="42">ROUND(($B15/12)*0.05,2)</f>
        <v>416.67</v>
      </c>
      <c r="AL15" s="512">
        <f>SUM(D15:AK15)</f>
        <v>5000.04</v>
      </c>
      <c r="AM15" s="560">
        <f t="shared" si="20"/>
        <v>429.17</v>
      </c>
      <c r="AN15" s="560"/>
      <c r="AO15" s="560"/>
      <c r="AP15" s="560">
        <f t="shared" si="21"/>
        <v>429.17</v>
      </c>
      <c r="AQ15" s="560"/>
      <c r="AR15" s="560"/>
      <c r="AS15" s="560">
        <f t="shared" si="0"/>
        <v>429.17</v>
      </c>
      <c r="AT15" s="560"/>
      <c r="AU15" s="560"/>
      <c r="AV15" s="560">
        <f t="shared" si="1"/>
        <v>429.17</v>
      </c>
      <c r="AW15" s="560"/>
      <c r="AX15" s="560"/>
      <c r="AY15" s="560">
        <f t="shared" si="2"/>
        <v>429.17</v>
      </c>
      <c r="AZ15" s="560"/>
      <c r="BA15" s="560"/>
      <c r="BB15" s="560">
        <f t="shared" si="3"/>
        <v>429.17</v>
      </c>
      <c r="BC15" s="560"/>
      <c r="BD15" s="560"/>
      <c r="BE15" s="560">
        <f t="shared" si="4"/>
        <v>429.17</v>
      </c>
      <c r="BF15" s="560"/>
      <c r="BG15" s="560"/>
      <c r="BH15" s="560">
        <f t="shared" si="5"/>
        <v>429.17</v>
      </c>
      <c r="BI15" s="560"/>
      <c r="BJ15" s="560"/>
      <c r="BK15" s="560">
        <f t="shared" si="6"/>
        <v>429.17</v>
      </c>
      <c r="BL15" s="560"/>
      <c r="BM15" s="560"/>
      <c r="BN15" s="560">
        <f t="shared" si="7"/>
        <v>429.17</v>
      </c>
      <c r="BO15" s="560"/>
      <c r="BP15" s="560"/>
      <c r="BQ15" s="560">
        <f t="shared" si="8"/>
        <v>429.17</v>
      </c>
      <c r="BR15" s="560"/>
      <c r="BS15" s="560"/>
      <c r="BT15" s="560">
        <v>0</v>
      </c>
      <c r="BU15" s="512">
        <f>SUM(AM15:BT15)</f>
        <v>4720.87</v>
      </c>
    </row>
    <row r="16" spans="1:73" s="519" customFormat="1" ht="13.5" customHeight="1" x14ac:dyDescent="0.2">
      <c r="A16" s="514">
        <v>60101</v>
      </c>
      <c r="B16" s="515">
        <f>'Staff Salary Dist'!B4</f>
        <v>81558.080000000002</v>
      </c>
      <c r="C16" s="516" t="str">
        <f>'Staff Salary Dist'!A4</f>
        <v>Paul Programmer</v>
      </c>
      <c r="D16" s="517">
        <f>'Staff Salary Dist'!E5</f>
        <v>1359.3</v>
      </c>
      <c r="E16" s="517"/>
      <c r="F16" s="517"/>
      <c r="G16" s="517">
        <f>'Staff Salary Dist'!H5</f>
        <v>1359.3</v>
      </c>
      <c r="H16" s="517"/>
      <c r="I16" s="517"/>
      <c r="J16" s="517">
        <f>'Staff Salary Dist'!K5</f>
        <v>1359.3</v>
      </c>
      <c r="K16" s="517"/>
      <c r="L16" s="517"/>
      <c r="M16" s="517">
        <f>'Staff Salary Dist'!N5</f>
        <v>1359.3</v>
      </c>
      <c r="N16" s="517"/>
      <c r="O16" s="517"/>
      <c r="P16" s="517">
        <f>'Staff Salary Dist'!Q5</f>
        <v>1359.3</v>
      </c>
      <c r="Q16" s="517"/>
      <c r="R16" s="517"/>
      <c r="S16" s="517">
        <f>'Staff Salary Dist'!T5</f>
        <v>1359.3</v>
      </c>
      <c r="T16" s="517"/>
      <c r="U16" s="517"/>
      <c r="V16" s="517">
        <f>'Staff Salary Dist'!W5</f>
        <v>1359.3</v>
      </c>
      <c r="W16" s="517"/>
      <c r="X16" s="517"/>
      <c r="Y16" s="517">
        <f>'Staff Salary Dist'!Z5</f>
        <v>1359.3</v>
      </c>
      <c r="Z16" s="517"/>
      <c r="AA16" s="517"/>
      <c r="AB16" s="517">
        <f>'Staff Salary Dist'!AC5</f>
        <v>1359.3</v>
      </c>
      <c r="AC16" s="517"/>
      <c r="AD16" s="517"/>
      <c r="AE16" s="517">
        <f>'Staff Salary Dist'!AF5</f>
        <v>1359.3</v>
      </c>
      <c r="AF16" s="517"/>
      <c r="AG16" s="517"/>
      <c r="AH16" s="517">
        <f>'Staff Salary Dist'!AI5</f>
        <v>1359.3</v>
      </c>
      <c r="AI16" s="517"/>
      <c r="AJ16" s="517"/>
      <c r="AK16" s="517">
        <f>'Staff Salary Dist'!AL5</f>
        <v>1359.3</v>
      </c>
      <c r="AL16" s="518">
        <f>SUM(D16:AK16)</f>
        <v>16311.599999999997</v>
      </c>
      <c r="AM16" s="517">
        <f t="shared" si="20"/>
        <v>1400.08</v>
      </c>
      <c r="AN16" s="517"/>
      <c r="AO16" s="517"/>
      <c r="AP16" s="517">
        <f t="shared" si="21"/>
        <v>1400.08</v>
      </c>
      <c r="AQ16" s="517"/>
      <c r="AR16" s="517"/>
      <c r="AS16" s="517">
        <f t="shared" si="0"/>
        <v>1400.08</v>
      </c>
      <c r="AT16" s="517"/>
      <c r="AU16" s="517"/>
      <c r="AV16" s="517">
        <f t="shared" si="1"/>
        <v>1400.08</v>
      </c>
      <c r="AW16" s="517"/>
      <c r="AX16" s="517"/>
      <c r="AY16" s="517">
        <f t="shared" si="2"/>
        <v>1400.08</v>
      </c>
      <c r="AZ16" s="517"/>
      <c r="BA16" s="517"/>
      <c r="BB16" s="517">
        <f t="shared" si="3"/>
        <v>1400.08</v>
      </c>
      <c r="BC16" s="517"/>
      <c r="BD16" s="517"/>
      <c r="BE16" s="517">
        <f t="shared" si="4"/>
        <v>1400.08</v>
      </c>
      <c r="BF16" s="517"/>
      <c r="BG16" s="517"/>
      <c r="BH16" s="517">
        <f t="shared" si="5"/>
        <v>1400.08</v>
      </c>
      <c r="BI16" s="517"/>
      <c r="BJ16" s="517"/>
      <c r="BK16" s="517">
        <f t="shared" si="6"/>
        <v>1400.08</v>
      </c>
      <c r="BL16" s="517"/>
      <c r="BM16" s="517"/>
      <c r="BN16" s="517">
        <f t="shared" si="7"/>
        <v>1400.08</v>
      </c>
      <c r="BO16" s="517"/>
      <c r="BP16" s="517"/>
      <c r="BQ16" s="517">
        <f t="shared" si="8"/>
        <v>1400.08</v>
      </c>
      <c r="BR16" s="517"/>
      <c r="BS16" s="517"/>
      <c r="BT16" s="517">
        <v>0</v>
      </c>
      <c r="BU16" s="518">
        <f>SUM(AM16:BT16)</f>
        <v>15400.88</v>
      </c>
    </row>
    <row r="17" spans="1:73" s="519" customFormat="1" ht="13.5" customHeight="1" x14ac:dyDescent="0.2">
      <c r="A17" s="514">
        <v>60101</v>
      </c>
      <c r="B17" s="515">
        <f>'Staff Salary Dist'!B12</f>
        <v>46533.42</v>
      </c>
      <c r="C17" s="516" t="str">
        <f>'Staff Salary Dist'!A12</f>
        <v>Connie Coordinator</v>
      </c>
      <c r="D17" s="517">
        <f>'Staff Salary Dist'!E13</f>
        <v>2326.67</v>
      </c>
      <c r="E17" s="517"/>
      <c r="F17" s="517"/>
      <c r="G17" s="517">
        <f>'Staff Salary Dist'!H13</f>
        <v>2326.67</v>
      </c>
      <c r="H17" s="517"/>
      <c r="I17" s="517"/>
      <c r="J17" s="517">
        <f>'Staff Salary Dist'!K13</f>
        <v>2326.67</v>
      </c>
      <c r="K17" s="517"/>
      <c r="L17" s="517"/>
      <c r="M17" s="517">
        <f>'Staff Salary Dist'!N13</f>
        <v>2326.67</v>
      </c>
      <c r="N17" s="517"/>
      <c r="O17" s="517"/>
      <c r="P17" s="517">
        <f>'Staff Salary Dist'!Q13</f>
        <v>2326.67</v>
      </c>
      <c r="Q17" s="517"/>
      <c r="R17" s="517"/>
      <c r="S17" s="517">
        <f>'Staff Salary Dist'!T13</f>
        <v>2326.67</v>
      </c>
      <c r="T17" s="517"/>
      <c r="U17" s="517"/>
      <c r="V17" s="517">
        <f>'Staff Salary Dist'!W13</f>
        <v>2326.67</v>
      </c>
      <c r="W17" s="517"/>
      <c r="X17" s="517"/>
      <c r="Y17" s="517">
        <f>'Staff Salary Dist'!Z13</f>
        <v>2326.67</v>
      </c>
      <c r="Z17" s="517"/>
      <c r="AA17" s="517"/>
      <c r="AB17" s="517">
        <f>'Staff Salary Dist'!AC13</f>
        <v>2326.67</v>
      </c>
      <c r="AC17" s="517"/>
      <c r="AD17" s="517"/>
      <c r="AE17" s="517">
        <f>'Staff Salary Dist'!AF13</f>
        <v>2326.67</v>
      </c>
      <c r="AF17" s="517"/>
      <c r="AG17" s="517"/>
      <c r="AH17" s="517">
        <f>'Staff Salary Dist'!AI13</f>
        <v>2326.67</v>
      </c>
      <c r="AI17" s="517"/>
      <c r="AJ17" s="517"/>
      <c r="AK17" s="517">
        <f>'Staff Salary Dist'!AL13</f>
        <v>2326.67</v>
      </c>
      <c r="AL17" s="518">
        <f>SUM(D17:AK17)</f>
        <v>27920.039999999994</v>
      </c>
      <c r="AM17" s="517">
        <f t="shared" si="20"/>
        <v>2396.4699999999998</v>
      </c>
      <c r="AN17" s="517"/>
      <c r="AO17" s="517"/>
      <c r="AP17" s="517">
        <f t="shared" si="21"/>
        <v>2396.4699999999998</v>
      </c>
      <c r="AQ17" s="517"/>
      <c r="AR17" s="517"/>
      <c r="AS17" s="517">
        <f t="shared" si="0"/>
        <v>2396.4699999999998</v>
      </c>
      <c r="AT17" s="517"/>
      <c r="AU17" s="517"/>
      <c r="AV17" s="517">
        <f t="shared" si="1"/>
        <v>2396.4699999999998</v>
      </c>
      <c r="AW17" s="517"/>
      <c r="AX17" s="517"/>
      <c r="AY17" s="517">
        <f t="shared" si="2"/>
        <v>2396.4699999999998</v>
      </c>
      <c r="AZ17" s="517"/>
      <c r="BA17" s="517"/>
      <c r="BB17" s="517">
        <f t="shared" si="3"/>
        <v>2396.4699999999998</v>
      </c>
      <c r="BC17" s="517"/>
      <c r="BD17" s="517"/>
      <c r="BE17" s="517">
        <f t="shared" si="4"/>
        <v>2396.4699999999998</v>
      </c>
      <c r="BF17" s="517"/>
      <c r="BG17" s="517"/>
      <c r="BH17" s="517">
        <f t="shared" si="5"/>
        <v>2396.4699999999998</v>
      </c>
      <c r="BI17" s="517"/>
      <c r="BJ17" s="517"/>
      <c r="BK17" s="517">
        <f t="shared" si="6"/>
        <v>2396.4699999999998</v>
      </c>
      <c r="BL17" s="517"/>
      <c r="BM17" s="517"/>
      <c r="BN17" s="517">
        <f t="shared" si="7"/>
        <v>2396.4699999999998</v>
      </c>
      <c r="BO17" s="517"/>
      <c r="BP17" s="517"/>
      <c r="BQ17" s="517">
        <f t="shared" si="8"/>
        <v>2396.4699999999998</v>
      </c>
      <c r="BR17" s="517"/>
      <c r="BS17" s="517"/>
      <c r="BT17" s="517">
        <v>0</v>
      </c>
      <c r="BU17" s="518">
        <f>SUM(AM17:BT17)</f>
        <v>26361.170000000002</v>
      </c>
    </row>
    <row r="18" spans="1:73" ht="6" customHeight="1" x14ac:dyDescent="0.2">
      <c r="A18" s="561"/>
      <c r="C18" s="551"/>
      <c r="D18" s="483"/>
      <c r="G18" s="483"/>
      <c r="J18" s="483"/>
      <c r="M18" s="486"/>
      <c r="P18" s="483"/>
      <c r="S18" s="483"/>
      <c r="V18" s="483"/>
      <c r="Y18" s="483"/>
      <c r="Z18" s="483"/>
      <c r="AA18" s="483"/>
      <c r="AB18" s="483"/>
      <c r="AC18" s="483"/>
      <c r="AD18" s="483"/>
      <c r="AE18" s="483"/>
      <c r="AF18" s="483"/>
      <c r="AG18" s="483"/>
      <c r="AH18" s="483"/>
      <c r="AI18" s="483"/>
      <c r="AJ18" s="483"/>
      <c r="AK18" s="483"/>
      <c r="AL18" s="504"/>
      <c r="AM18" s="483"/>
      <c r="AP18" s="483"/>
      <c r="AS18" s="483"/>
      <c r="AV18" s="486"/>
      <c r="AY18" s="483"/>
      <c r="BB18" s="483"/>
      <c r="BE18" s="483"/>
      <c r="BH18" s="483"/>
      <c r="BI18" s="483"/>
      <c r="BJ18" s="483"/>
      <c r="BK18" s="483"/>
      <c r="BL18" s="483"/>
      <c r="BM18" s="483"/>
      <c r="BN18" s="483"/>
      <c r="BO18" s="483"/>
      <c r="BP18" s="483"/>
      <c r="BQ18" s="483"/>
      <c r="BR18" s="483"/>
      <c r="BS18" s="483"/>
      <c r="BT18" s="483"/>
      <c r="BU18" s="504"/>
    </row>
    <row r="19" spans="1:73" s="513" customFormat="1" x14ac:dyDescent="0.2">
      <c r="A19" s="556"/>
      <c r="B19" s="522"/>
      <c r="C19" s="562" t="s">
        <v>97</v>
      </c>
      <c r="D19" s="510">
        <f>SUM(D12:D15)</f>
        <v>9155.42</v>
      </c>
      <c r="E19" s="510">
        <f>SUM(E12:E15)</f>
        <v>0</v>
      </c>
      <c r="F19" s="510"/>
      <c r="G19" s="510">
        <f>SUM(G12:G15)</f>
        <v>9155.42</v>
      </c>
      <c r="H19" s="510">
        <f>SUM(H12:H15)</f>
        <v>0</v>
      </c>
      <c r="I19" s="510"/>
      <c r="J19" s="510">
        <f>SUM(J12:J15)</f>
        <v>9155.42</v>
      </c>
      <c r="K19" s="510">
        <f>SUM(K12:K15)</f>
        <v>0</v>
      </c>
      <c r="L19" s="510"/>
      <c r="M19" s="510">
        <f>SUM(M12:M15)</f>
        <v>9155.42</v>
      </c>
      <c r="N19" s="510">
        <f>SUM(N12:N15)</f>
        <v>0</v>
      </c>
      <c r="O19" s="510"/>
      <c r="P19" s="510">
        <f>SUM(P12:P15)</f>
        <v>9155.42</v>
      </c>
      <c r="Q19" s="510">
        <f>SUM(Q12:Q15)</f>
        <v>0</v>
      </c>
      <c r="R19" s="510"/>
      <c r="S19" s="510">
        <f>SUM(S12:S15)</f>
        <v>9155.42</v>
      </c>
      <c r="T19" s="510">
        <f>SUM(T12:T15)</f>
        <v>0</v>
      </c>
      <c r="U19" s="510"/>
      <c r="V19" s="510">
        <f>SUM(V12:V15)</f>
        <v>9155.42</v>
      </c>
      <c r="W19" s="510">
        <f>SUM(W12:W15)</f>
        <v>0</v>
      </c>
      <c r="X19" s="510"/>
      <c r="Y19" s="510">
        <f>SUM(Y12:Y15)</f>
        <v>9155.42</v>
      </c>
      <c r="Z19" s="510">
        <f>SUM(Z12:Z15)</f>
        <v>0</v>
      </c>
      <c r="AA19" s="510"/>
      <c r="AB19" s="510">
        <f>SUM(AB12:AB15)</f>
        <v>9155.42</v>
      </c>
      <c r="AC19" s="510">
        <f>SUM(AC12:AC15)</f>
        <v>0</v>
      </c>
      <c r="AD19" s="510"/>
      <c r="AE19" s="510">
        <f>SUM(AE12:AE15)</f>
        <v>9155.42</v>
      </c>
      <c r="AF19" s="510">
        <f>SUM(AF12:AF15)</f>
        <v>0</v>
      </c>
      <c r="AG19" s="510"/>
      <c r="AH19" s="510">
        <f>SUM(AH12:AH15)</f>
        <v>9155.42</v>
      </c>
      <c r="AI19" s="510">
        <f>SUM(AI12:AI15)</f>
        <v>0</v>
      </c>
      <c r="AJ19" s="510"/>
      <c r="AK19" s="510">
        <f>SUM(AK12:AK15)</f>
        <v>9155.42</v>
      </c>
      <c r="AL19" s="512">
        <f>SUM(D19:AK19)</f>
        <v>109865.04</v>
      </c>
      <c r="AM19" s="510">
        <f>SUM(AM12:AM15)</f>
        <v>9430.08</v>
      </c>
      <c r="AN19" s="510">
        <f>SUM(AN12:AN15)</f>
        <v>0</v>
      </c>
      <c r="AO19" s="510"/>
      <c r="AP19" s="510">
        <f>SUM(AP12:AP15)</f>
        <v>9430.08</v>
      </c>
      <c r="AQ19" s="510">
        <f>SUM(AQ12:AQ15)</f>
        <v>0</v>
      </c>
      <c r="AR19" s="510"/>
      <c r="AS19" s="510">
        <f>SUM(AS12:AS15)</f>
        <v>9430.08</v>
      </c>
      <c r="AT19" s="510">
        <f>SUM(AT12:AT15)</f>
        <v>0</v>
      </c>
      <c r="AU19" s="510"/>
      <c r="AV19" s="510">
        <f>SUM(AV12:AV15)</f>
        <v>9430.08</v>
      </c>
      <c r="AW19" s="510">
        <f>SUM(AW12:AW15)</f>
        <v>0</v>
      </c>
      <c r="AX19" s="510"/>
      <c r="AY19" s="510">
        <f>SUM(AY12:AY15)</f>
        <v>9430.08</v>
      </c>
      <c r="AZ19" s="510">
        <f>SUM(AZ12:AZ15)</f>
        <v>0</v>
      </c>
      <c r="BA19" s="510"/>
      <c r="BB19" s="510">
        <f>SUM(BB12:BB15)</f>
        <v>9430.08</v>
      </c>
      <c r="BC19" s="510">
        <f>SUM(BC12:BC15)</f>
        <v>0</v>
      </c>
      <c r="BD19" s="510"/>
      <c r="BE19" s="510">
        <f>SUM(BE12:BE15)</f>
        <v>9430.08</v>
      </c>
      <c r="BF19" s="510">
        <f>SUM(BF12:BF15)</f>
        <v>0</v>
      </c>
      <c r="BG19" s="510"/>
      <c r="BH19" s="510">
        <f>SUM(BH12:BH15)</f>
        <v>9430.08</v>
      </c>
      <c r="BI19" s="510">
        <f>SUM(BI12:BI15)</f>
        <v>0</v>
      </c>
      <c r="BJ19" s="510"/>
      <c r="BK19" s="510">
        <f>SUM(BK12:BK15)</f>
        <v>9430.08</v>
      </c>
      <c r="BL19" s="510">
        <f>SUM(BL12:BL15)</f>
        <v>0</v>
      </c>
      <c r="BM19" s="510"/>
      <c r="BN19" s="510">
        <f>SUM(BN12:BN15)</f>
        <v>9430.08</v>
      </c>
      <c r="BO19" s="510">
        <f>SUM(BO12:BO15)</f>
        <v>0</v>
      </c>
      <c r="BP19" s="510"/>
      <c r="BQ19" s="510">
        <f>SUM(BQ12:BQ15)</f>
        <v>9430.08</v>
      </c>
      <c r="BR19" s="510">
        <f>SUM(BR12:BR15)</f>
        <v>0</v>
      </c>
      <c r="BS19" s="510"/>
      <c r="BT19" s="510">
        <f>SUM(BT12:BT15)</f>
        <v>0</v>
      </c>
      <c r="BU19" s="512">
        <f>SUM(AM19:BT19)</f>
        <v>103730.88</v>
      </c>
    </row>
    <row r="20" spans="1:73" s="519" customFormat="1" x14ac:dyDescent="0.2">
      <c r="A20" s="514"/>
      <c r="B20" s="520"/>
      <c r="C20" s="525" t="s">
        <v>98</v>
      </c>
      <c r="D20" s="517">
        <f>SUM(D16:D18)</f>
        <v>3685.9700000000003</v>
      </c>
      <c r="E20" s="517"/>
      <c r="F20" s="517"/>
      <c r="G20" s="517">
        <f>SUM(G16:G18)</f>
        <v>3685.9700000000003</v>
      </c>
      <c r="H20" s="517"/>
      <c r="I20" s="517"/>
      <c r="J20" s="517">
        <f t="shared" ref="J20" si="43">SUM(J16:J18)</f>
        <v>3685.9700000000003</v>
      </c>
      <c r="K20" s="517"/>
      <c r="L20" s="517"/>
      <c r="M20" s="517">
        <f t="shared" ref="M20" si="44">SUM(M16:M18)</f>
        <v>3685.9700000000003</v>
      </c>
      <c r="N20" s="517"/>
      <c r="O20" s="517"/>
      <c r="P20" s="517">
        <f t="shared" ref="P20" si="45">SUM(P16:P18)</f>
        <v>3685.9700000000003</v>
      </c>
      <c r="Q20" s="517"/>
      <c r="R20" s="517"/>
      <c r="S20" s="517">
        <f t="shared" ref="S20" si="46">SUM(S16:S18)</f>
        <v>3685.9700000000003</v>
      </c>
      <c r="T20" s="517"/>
      <c r="U20" s="517"/>
      <c r="V20" s="517">
        <f t="shared" ref="V20" si="47">SUM(V16:V18)</f>
        <v>3685.9700000000003</v>
      </c>
      <c r="W20" s="517"/>
      <c r="X20" s="517"/>
      <c r="Y20" s="517">
        <f t="shared" ref="Y20" si="48">SUM(Y16:Y18)</f>
        <v>3685.9700000000003</v>
      </c>
      <c r="Z20" s="517"/>
      <c r="AA20" s="517"/>
      <c r="AB20" s="517">
        <f t="shared" ref="AB20" si="49">SUM(AB16:AB18)</f>
        <v>3685.9700000000003</v>
      </c>
      <c r="AC20" s="517"/>
      <c r="AD20" s="517"/>
      <c r="AE20" s="517">
        <f t="shared" ref="AE20" si="50">SUM(AE16:AE18)</f>
        <v>3685.9700000000003</v>
      </c>
      <c r="AF20" s="517"/>
      <c r="AG20" s="517"/>
      <c r="AH20" s="517">
        <f t="shared" ref="AH20" si="51">SUM(AH16:AH18)</f>
        <v>3685.9700000000003</v>
      </c>
      <c r="AI20" s="517"/>
      <c r="AJ20" s="517"/>
      <c r="AK20" s="517">
        <f t="shared" ref="AK20" si="52">SUM(AK16:AK18)</f>
        <v>3685.9700000000003</v>
      </c>
      <c r="AL20" s="518">
        <f>SUM(D20:AK20)</f>
        <v>44231.640000000007</v>
      </c>
      <c r="AM20" s="517">
        <f>SUM(AM16:AM18)</f>
        <v>3796.5499999999997</v>
      </c>
      <c r="AN20" s="517"/>
      <c r="AO20" s="517"/>
      <c r="AP20" s="517">
        <f>SUM(AP16:AP18)</f>
        <v>3796.5499999999997</v>
      </c>
      <c r="AQ20" s="517"/>
      <c r="AR20" s="517"/>
      <c r="AS20" s="517">
        <f t="shared" ref="AS20" si="53">SUM(AS16:AS18)</f>
        <v>3796.5499999999997</v>
      </c>
      <c r="AT20" s="517"/>
      <c r="AU20" s="517"/>
      <c r="AV20" s="517">
        <f t="shared" ref="AV20" si="54">SUM(AV16:AV18)</f>
        <v>3796.5499999999997</v>
      </c>
      <c r="AW20" s="517"/>
      <c r="AX20" s="517"/>
      <c r="AY20" s="517">
        <f t="shared" ref="AY20" si="55">SUM(AY16:AY18)</f>
        <v>3796.5499999999997</v>
      </c>
      <c r="AZ20" s="517"/>
      <c r="BA20" s="517"/>
      <c r="BB20" s="517">
        <f t="shared" ref="BB20" si="56">SUM(BB16:BB18)</f>
        <v>3796.5499999999997</v>
      </c>
      <c r="BC20" s="517"/>
      <c r="BD20" s="517"/>
      <c r="BE20" s="517">
        <f t="shared" ref="BE20" si="57">SUM(BE16:BE18)</f>
        <v>3796.5499999999997</v>
      </c>
      <c r="BF20" s="517"/>
      <c r="BG20" s="517"/>
      <c r="BH20" s="517">
        <f t="shared" ref="BH20" si="58">SUM(BH16:BH18)</f>
        <v>3796.5499999999997</v>
      </c>
      <c r="BI20" s="517"/>
      <c r="BJ20" s="517"/>
      <c r="BK20" s="517">
        <f t="shared" ref="BK20" si="59">SUM(BK16:BK18)</f>
        <v>3796.5499999999997</v>
      </c>
      <c r="BL20" s="517"/>
      <c r="BM20" s="517"/>
      <c r="BN20" s="517">
        <f t="shared" ref="BN20" si="60">SUM(BN16:BN18)</f>
        <v>3796.5499999999997</v>
      </c>
      <c r="BO20" s="517"/>
      <c r="BP20" s="517"/>
      <c r="BQ20" s="517">
        <f t="shared" ref="BQ20" si="61">SUM(BQ16:BQ18)</f>
        <v>3796.5499999999997</v>
      </c>
      <c r="BR20" s="517"/>
      <c r="BS20" s="517"/>
      <c r="BT20" s="517">
        <f>SUM(BT17:BT17)</f>
        <v>0</v>
      </c>
      <c r="BU20" s="518">
        <f>SUM(AM20:BT20)</f>
        <v>41762.050000000003</v>
      </c>
    </row>
    <row r="21" spans="1:73" s="519" customFormat="1" x14ac:dyDescent="0.2">
      <c r="A21" s="514"/>
      <c r="B21" s="520"/>
      <c r="C21" s="525"/>
      <c r="D21" s="517"/>
      <c r="E21" s="517"/>
      <c r="F21" s="517"/>
      <c r="G21" s="517"/>
      <c r="H21" s="517"/>
      <c r="I21" s="517"/>
      <c r="J21" s="517"/>
      <c r="K21" s="517"/>
      <c r="L21" s="517"/>
      <c r="M21" s="517"/>
      <c r="N21" s="517"/>
      <c r="O21" s="517"/>
      <c r="P21" s="517"/>
      <c r="Q21" s="517"/>
      <c r="R21" s="517"/>
      <c r="S21" s="517"/>
      <c r="T21" s="517"/>
      <c r="U21" s="517"/>
      <c r="V21" s="517"/>
      <c r="W21" s="517"/>
      <c r="X21" s="517"/>
      <c r="Y21" s="517"/>
      <c r="Z21" s="517"/>
      <c r="AA21" s="517"/>
      <c r="AB21" s="517"/>
      <c r="AC21" s="517"/>
      <c r="AD21" s="517"/>
      <c r="AE21" s="517"/>
      <c r="AF21" s="517"/>
      <c r="AG21" s="517"/>
      <c r="AH21" s="517"/>
      <c r="AI21" s="517"/>
      <c r="AJ21" s="517"/>
      <c r="AK21" s="517"/>
      <c r="AL21" s="518"/>
      <c r="AM21" s="517"/>
      <c r="AN21" s="517"/>
      <c r="AO21" s="517"/>
      <c r="AP21" s="517"/>
      <c r="AQ21" s="517"/>
      <c r="AR21" s="517"/>
      <c r="AS21" s="517"/>
      <c r="AT21" s="517"/>
      <c r="AU21" s="517"/>
      <c r="AV21" s="517"/>
      <c r="AW21" s="517"/>
      <c r="AX21" s="517"/>
      <c r="AY21" s="517"/>
      <c r="AZ21" s="517"/>
      <c r="BA21" s="517"/>
      <c r="BB21" s="517"/>
      <c r="BC21" s="517"/>
      <c r="BD21" s="517"/>
      <c r="BE21" s="517"/>
      <c r="BF21" s="517"/>
      <c r="BG21" s="517"/>
      <c r="BH21" s="517"/>
      <c r="BI21" s="517"/>
      <c r="BJ21" s="517"/>
      <c r="BK21" s="517"/>
      <c r="BL21" s="517"/>
      <c r="BM21" s="517"/>
      <c r="BN21" s="517"/>
      <c r="BO21" s="517"/>
      <c r="BP21" s="517"/>
      <c r="BQ21" s="517"/>
      <c r="BR21" s="517"/>
      <c r="BS21" s="517"/>
      <c r="BT21" s="517"/>
      <c r="BU21" s="518"/>
    </row>
    <row r="22" spans="1:73" s="3" customFormat="1" x14ac:dyDescent="0.2">
      <c r="A22" s="563">
        <v>60186</v>
      </c>
      <c r="B22" s="520"/>
      <c r="C22" s="506" t="s">
        <v>113</v>
      </c>
      <c r="D22" s="526">
        <f>ROUND(SUM(D19:D20)*0.257,2)</f>
        <v>3300.24</v>
      </c>
      <c r="E22" s="526"/>
      <c r="F22" s="526"/>
      <c r="G22" s="526">
        <f>ROUND(SUM(G19:G20)*0.257,2)</f>
        <v>3300.24</v>
      </c>
      <c r="H22" s="526"/>
      <c r="I22" s="526"/>
      <c r="J22" s="526">
        <f t="shared" ref="J22" si="62">ROUND(SUM(J19:J20)*0.257,2)</f>
        <v>3300.24</v>
      </c>
      <c r="K22" s="526"/>
      <c r="L22" s="526"/>
      <c r="M22" s="526">
        <f t="shared" ref="M22" si="63">ROUND(SUM(M19:M20)*0.257,2)</f>
        <v>3300.24</v>
      </c>
      <c r="N22" s="526"/>
      <c r="O22" s="526"/>
      <c r="P22" s="526">
        <f t="shared" ref="P22" si="64">ROUND(SUM(P19:P20)*0.257,2)</f>
        <v>3300.24</v>
      </c>
      <c r="Q22" s="526"/>
      <c r="R22" s="526"/>
      <c r="S22" s="526">
        <f t="shared" ref="S22" si="65">ROUND(SUM(S19:S20)*0.257,2)</f>
        <v>3300.24</v>
      </c>
      <c r="T22" s="526"/>
      <c r="U22" s="526"/>
      <c r="V22" s="526">
        <f t="shared" ref="V22" si="66">ROUND(SUM(V19:V20)*0.257,2)</f>
        <v>3300.24</v>
      </c>
      <c r="W22" s="526"/>
      <c r="X22" s="526"/>
      <c r="Y22" s="526">
        <f t="shared" ref="Y22" si="67">ROUND(SUM(Y19:Y20)*0.257,2)</f>
        <v>3300.24</v>
      </c>
      <c r="Z22" s="526"/>
      <c r="AA22" s="526"/>
      <c r="AB22" s="526">
        <f t="shared" ref="AB22" si="68">ROUND(SUM(AB19:AB20)*0.257,2)</f>
        <v>3300.24</v>
      </c>
      <c r="AC22" s="526"/>
      <c r="AD22" s="526"/>
      <c r="AE22" s="526">
        <f t="shared" ref="AE22" si="69">ROUND(SUM(AE19:AE20)*0.257,2)</f>
        <v>3300.24</v>
      </c>
      <c r="AF22" s="526"/>
      <c r="AG22" s="526"/>
      <c r="AH22" s="526">
        <f t="shared" ref="AH22" si="70">ROUND(SUM(AH19:AH20)*0.257,2)</f>
        <v>3300.24</v>
      </c>
      <c r="AI22" s="526"/>
      <c r="AJ22" s="526"/>
      <c r="AK22" s="526">
        <f t="shared" ref="AK22" si="71">ROUND(SUM(AK19:AK20)*0.257,2)</f>
        <v>3300.24</v>
      </c>
      <c r="AL22" s="564">
        <f>SUM(D22:AK22)</f>
        <v>39602.879999999983</v>
      </c>
      <c r="AM22" s="526">
        <f>ROUND(SUM(AM19:AM20)*0.258,2)</f>
        <v>3412.47</v>
      </c>
      <c r="AN22" s="526"/>
      <c r="AO22" s="526"/>
      <c r="AP22" s="526">
        <f>ROUND(SUM(AP19:AP20)*0.258,2)</f>
        <v>3412.47</v>
      </c>
      <c r="AQ22" s="526"/>
      <c r="AR22" s="526"/>
      <c r="AS22" s="526">
        <f t="shared" ref="AS22" si="72">ROUND(SUM(AS19:AS20)*0.258,2)</f>
        <v>3412.47</v>
      </c>
      <c r="AT22" s="526"/>
      <c r="AU22" s="526"/>
      <c r="AV22" s="526">
        <f t="shared" ref="AV22" si="73">ROUND(SUM(AV19:AV20)*0.258,2)</f>
        <v>3412.47</v>
      </c>
      <c r="AW22" s="526"/>
      <c r="AX22" s="526"/>
      <c r="AY22" s="526">
        <f t="shared" ref="AY22" si="74">ROUND(SUM(AY19:AY20)*0.258,2)</f>
        <v>3412.47</v>
      </c>
      <c r="AZ22" s="526"/>
      <c r="BA22" s="526"/>
      <c r="BB22" s="526">
        <f t="shared" ref="BB22" si="75">ROUND(SUM(BB19:BB20)*0.258,2)</f>
        <v>3412.47</v>
      </c>
      <c r="BC22" s="526"/>
      <c r="BD22" s="526"/>
      <c r="BE22" s="526">
        <f t="shared" ref="BE22" si="76">ROUND(SUM(BE19:BE20)*0.258,2)</f>
        <v>3412.47</v>
      </c>
      <c r="BF22" s="526"/>
      <c r="BG22" s="526"/>
      <c r="BH22" s="526">
        <f t="shared" ref="BH22" si="77">ROUND(SUM(BH19:BH20)*0.258,2)</f>
        <v>3412.47</v>
      </c>
      <c r="BI22" s="526"/>
      <c r="BJ22" s="526"/>
      <c r="BK22" s="526">
        <f t="shared" ref="BK22" si="78">ROUND(SUM(BK19:BK20)*0.258,2)</f>
        <v>3412.47</v>
      </c>
      <c r="BL22" s="526"/>
      <c r="BM22" s="526"/>
      <c r="BN22" s="526">
        <f t="shared" ref="BN22" si="79">ROUND(SUM(BN19:BN20)*0.258,2)</f>
        <v>3412.47</v>
      </c>
      <c r="BO22" s="526"/>
      <c r="BP22" s="526"/>
      <c r="BQ22" s="526">
        <f t="shared" ref="BQ22" si="80">ROUND(SUM(BQ19:BQ20)*0.258,2)</f>
        <v>3412.47</v>
      </c>
      <c r="BR22" s="526"/>
      <c r="BS22" s="526"/>
      <c r="BT22" s="526">
        <f t="shared" ref="BT22" si="81">ROUND(SUM(BT19:BT20)*0.258,2)</f>
        <v>0</v>
      </c>
      <c r="BU22" s="564">
        <f>SUM(AM22:BT22)</f>
        <v>37537.170000000006</v>
      </c>
    </row>
    <row r="23" spans="1:73" x14ac:dyDescent="0.2">
      <c r="A23" s="561"/>
      <c r="B23" s="520"/>
      <c r="C23" s="535" t="s">
        <v>101</v>
      </c>
      <c r="D23" s="238">
        <f>SUM(D19:D22)</f>
        <v>16141.63</v>
      </c>
      <c r="E23" s="238"/>
      <c r="F23" s="238"/>
      <c r="G23" s="238">
        <f>SUM(G19:G22)</f>
        <v>16141.63</v>
      </c>
      <c r="H23" s="238"/>
      <c r="I23" s="238"/>
      <c r="J23" s="238">
        <f>SUM(J19:J22)</f>
        <v>16141.63</v>
      </c>
      <c r="K23" s="238"/>
      <c r="L23" s="238"/>
      <c r="M23" s="238">
        <f>SUM(M19:M22)</f>
        <v>16141.63</v>
      </c>
      <c r="N23" s="238"/>
      <c r="O23" s="238"/>
      <c r="P23" s="238">
        <f>SUM(P19:P22)</f>
        <v>16141.63</v>
      </c>
      <c r="Q23" s="238"/>
      <c r="R23" s="238"/>
      <c r="S23" s="238">
        <f>SUM(S19:S22)</f>
        <v>16141.63</v>
      </c>
      <c r="T23" s="238"/>
      <c r="U23" s="238"/>
      <c r="V23" s="238">
        <f>SUM(V19:V22)</f>
        <v>16141.63</v>
      </c>
      <c r="W23" s="238"/>
      <c r="X23" s="238"/>
      <c r="Y23" s="238">
        <f>SUM(Y19:Y22)</f>
        <v>16141.63</v>
      </c>
      <c r="Z23" s="238"/>
      <c r="AA23" s="238"/>
      <c r="AB23" s="238">
        <f>SUM(AB19:AB22)</f>
        <v>16141.63</v>
      </c>
      <c r="AC23" s="238"/>
      <c r="AD23" s="238"/>
      <c r="AE23" s="238">
        <f>SUM(AE19:AE22)</f>
        <v>16141.63</v>
      </c>
      <c r="AF23" s="238"/>
      <c r="AG23" s="238"/>
      <c r="AH23" s="238">
        <f>SUM(AH19:AH22)</f>
        <v>16141.63</v>
      </c>
      <c r="AI23" s="238"/>
      <c r="AJ23" s="238"/>
      <c r="AK23" s="238">
        <f>SUM(AK19:AK22)</f>
        <v>16141.63</v>
      </c>
      <c r="AL23" s="554">
        <f>SUM(D23:AK23)</f>
        <v>193699.56000000003</v>
      </c>
      <c r="AM23" s="238">
        <f>SUM(AM19:AM22)</f>
        <v>16639.099999999999</v>
      </c>
      <c r="AN23" s="238"/>
      <c r="AO23" s="238"/>
      <c r="AP23" s="238">
        <f>SUM(AP19:AP22)</f>
        <v>16639.099999999999</v>
      </c>
      <c r="AQ23" s="238"/>
      <c r="AR23" s="238"/>
      <c r="AS23" s="238">
        <f>SUM(AS19:AS22)</f>
        <v>16639.099999999999</v>
      </c>
      <c r="AT23" s="238"/>
      <c r="AU23" s="238"/>
      <c r="AV23" s="238">
        <f>SUM(AV19:AV22)</f>
        <v>16639.099999999999</v>
      </c>
      <c r="AW23" s="238"/>
      <c r="AX23" s="238"/>
      <c r="AY23" s="238">
        <f>SUM(AY19:AY22)</f>
        <v>16639.099999999999</v>
      </c>
      <c r="AZ23" s="238"/>
      <c r="BA23" s="238"/>
      <c r="BB23" s="238">
        <f>SUM(BB19:BB22)</f>
        <v>16639.099999999999</v>
      </c>
      <c r="BC23" s="238"/>
      <c r="BD23" s="238"/>
      <c r="BE23" s="238">
        <f>SUM(BE19:BE22)</f>
        <v>16639.099999999999</v>
      </c>
      <c r="BF23" s="238"/>
      <c r="BG23" s="238"/>
      <c r="BH23" s="238">
        <f>SUM(BH19:BH22)</f>
        <v>16639.099999999999</v>
      </c>
      <c r="BI23" s="238"/>
      <c r="BJ23" s="238"/>
      <c r="BK23" s="238">
        <f>SUM(BK19:BK22)</f>
        <v>16639.099999999999</v>
      </c>
      <c r="BL23" s="238"/>
      <c r="BM23" s="238"/>
      <c r="BN23" s="238">
        <f>SUM(BN19:BN22)</f>
        <v>16639.099999999999</v>
      </c>
      <c r="BO23" s="238"/>
      <c r="BP23" s="238"/>
      <c r="BQ23" s="238">
        <f>SUM(BQ19:BQ22)</f>
        <v>16639.099999999999</v>
      </c>
      <c r="BR23" s="238"/>
      <c r="BS23" s="238"/>
      <c r="BT23" s="238">
        <f>SUM(BT19:BT22)</f>
        <v>0</v>
      </c>
      <c r="BU23" s="554">
        <f>SUM(AM23:BT23)</f>
        <v>183030.10000000003</v>
      </c>
    </row>
    <row r="24" spans="1:73" ht="6" customHeight="1" x14ac:dyDescent="0.2">
      <c r="A24" s="561"/>
      <c r="C24" s="551"/>
      <c r="D24" s="483"/>
      <c r="G24" s="483"/>
      <c r="J24" s="483"/>
      <c r="M24" s="486"/>
      <c r="P24" s="483"/>
      <c r="S24" s="483"/>
      <c r="V24" s="483"/>
      <c r="Y24" s="483"/>
      <c r="Z24" s="483"/>
      <c r="AA24" s="483"/>
      <c r="AB24" s="483"/>
      <c r="AC24" s="483"/>
      <c r="AD24" s="483"/>
      <c r="AE24" s="483"/>
      <c r="AF24" s="483"/>
      <c r="AG24" s="483"/>
      <c r="AH24" s="483"/>
      <c r="AI24" s="483"/>
      <c r="AJ24" s="483"/>
      <c r="AK24" s="483"/>
      <c r="AL24" s="504"/>
      <c r="AM24" s="483"/>
      <c r="AP24" s="483"/>
      <c r="AS24" s="483"/>
      <c r="AV24" s="486"/>
      <c r="AY24" s="483"/>
      <c r="BB24" s="483"/>
      <c r="BE24" s="483"/>
      <c r="BH24" s="483"/>
      <c r="BI24" s="483"/>
      <c r="BJ24" s="483"/>
      <c r="BK24" s="483"/>
      <c r="BL24" s="483"/>
      <c r="BM24" s="483"/>
      <c r="BN24" s="483"/>
      <c r="BO24" s="483"/>
      <c r="BP24" s="483"/>
      <c r="BQ24" s="483"/>
      <c r="BR24" s="483"/>
      <c r="BS24" s="483"/>
      <c r="BT24" s="483"/>
      <c r="BU24" s="504"/>
    </row>
    <row r="25" spans="1:73" x14ac:dyDescent="0.2">
      <c r="A25" s="480" t="s">
        <v>100</v>
      </c>
      <c r="C25" s="565"/>
      <c r="D25" s="529"/>
      <c r="E25" s="238"/>
      <c r="F25" s="238"/>
      <c r="G25" s="529"/>
      <c r="H25" s="238"/>
      <c r="I25" s="238"/>
      <c r="J25" s="529"/>
      <c r="K25" s="238"/>
      <c r="L25" s="238"/>
      <c r="M25" s="530"/>
      <c r="N25" s="238"/>
      <c r="O25" s="238"/>
      <c r="P25" s="529"/>
      <c r="Q25" s="238"/>
      <c r="R25" s="238"/>
      <c r="S25" s="529"/>
      <c r="T25" s="238"/>
      <c r="U25" s="238"/>
      <c r="V25" s="529"/>
      <c r="W25" s="238"/>
      <c r="X25" s="238"/>
      <c r="Y25" s="529"/>
      <c r="Z25" s="529"/>
      <c r="AA25" s="529"/>
      <c r="AB25" s="529"/>
      <c r="AC25" s="529"/>
      <c r="AD25" s="529"/>
      <c r="AE25" s="529"/>
      <c r="AF25" s="529"/>
      <c r="AG25" s="529"/>
      <c r="AH25" s="529"/>
      <c r="AI25" s="529"/>
      <c r="AJ25" s="529"/>
      <c r="AK25" s="566"/>
      <c r="AL25" s="567"/>
      <c r="AM25" s="529"/>
      <c r="AN25" s="238"/>
      <c r="AO25" s="238"/>
      <c r="AP25" s="529"/>
      <c r="AQ25" s="238"/>
      <c r="AR25" s="238"/>
      <c r="AS25" s="529"/>
      <c r="AT25" s="238"/>
      <c r="AU25" s="238"/>
      <c r="AV25" s="530"/>
      <c r="AW25" s="238"/>
      <c r="AX25" s="238"/>
      <c r="AY25" s="529"/>
      <c r="AZ25" s="238"/>
      <c r="BA25" s="238"/>
      <c r="BB25" s="529"/>
      <c r="BC25" s="238"/>
      <c r="BD25" s="238"/>
      <c r="BE25" s="529"/>
      <c r="BF25" s="238"/>
      <c r="BG25" s="238"/>
      <c r="BH25" s="529"/>
      <c r="BI25" s="529"/>
      <c r="BJ25" s="529"/>
      <c r="BK25" s="529"/>
      <c r="BL25" s="529"/>
      <c r="BM25" s="529"/>
      <c r="BN25" s="529"/>
      <c r="BO25" s="529"/>
      <c r="BP25" s="529"/>
      <c r="BQ25" s="529"/>
      <c r="BR25" s="529"/>
      <c r="BS25" s="529"/>
      <c r="BT25" s="566"/>
      <c r="BU25" s="567"/>
    </row>
    <row r="26" spans="1:73" x14ac:dyDescent="0.2">
      <c r="A26" s="561">
        <v>76765</v>
      </c>
      <c r="B26" s="480"/>
      <c r="C26" s="480" t="s">
        <v>114</v>
      </c>
      <c r="D26" s="483">
        <v>0</v>
      </c>
      <c r="G26" s="483">
        <v>0</v>
      </c>
      <c r="J26" s="483">
        <v>0</v>
      </c>
      <c r="M26" s="483">
        <f>J26</f>
        <v>0</v>
      </c>
      <c r="P26" s="483">
        <f>M26</f>
        <v>0</v>
      </c>
      <c r="S26" s="483">
        <f>P26</f>
        <v>0</v>
      </c>
      <c r="V26" s="483">
        <f>S26</f>
        <v>0</v>
      </c>
      <c r="Y26" s="483">
        <f>V26</f>
        <v>0</v>
      </c>
      <c r="AB26" s="483">
        <f>Y26</f>
        <v>0</v>
      </c>
      <c r="AE26" s="483">
        <f>AB26</f>
        <v>0</v>
      </c>
      <c r="AH26" s="531">
        <f>4000-SUM(D26:AE26)</f>
        <v>4000</v>
      </c>
      <c r="AK26" s="483">
        <v>0</v>
      </c>
      <c r="AL26" s="564">
        <f>SUM(D26:AK26)</f>
        <v>4000</v>
      </c>
      <c r="AM26" s="483">
        <v>0</v>
      </c>
      <c r="AP26" s="483">
        <v>0</v>
      </c>
      <c r="AS26" s="483">
        <v>0</v>
      </c>
      <c r="AV26" s="483">
        <f>AS26</f>
        <v>0</v>
      </c>
      <c r="AY26" s="483">
        <f>AV26</f>
        <v>0</v>
      </c>
      <c r="BB26" s="483">
        <f>AY26</f>
        <v>0</v>
      </c>
      <c r="BE26" s="483">
        <f>BB26</f>
        <v>0</v>
      </c>
      <c r="BH26" s="483">
        <f>BE26</f>
        <v>0</v>
      </c>
      <c r="BK26" s="483">
        <f>BH26</f>
        <v>0</v>
      </c>
      <c r="BN26" s="483">
        <f>BK26</f>
        <v>0</v>
      </c>
      <c r="BQ26" s="531">
        <f>4000-SUM(AM26:BN26)</f>
        <v>4000</v>
      </c>
      <c r="BT26" s="534">
        <v>0</v>
      </c>
      <c r="BU26" s="564">
        <f>SUM(AM26:BT26)</f>
        <v>4000</v>
      </c>
    </row>
    <row r="27" spans="1:73" s="3" customFormat="1" ht="25.5" x14ac:dyDescent="0.2">
      <c r="A27" s="568">
        <v>77090</v>
      </c>
      <c r="B27" s="481"/>
      <c r="C27" s="482" t="s">
        <v>280</v>
      </c>
      <c r="D27" s="483">
        <v>1000</v>
      </c>
      <c r="E27" s="250"/>
      <c r="F27" s="250"/>
      <c r="G27" s="483">
        <v>0</v>
      </c>
      <c r="H27" s="250"/>
      <c r="I27" s="250"/>
      <c r="J27" s="483">
        <v>0</v>
      </c>
      <c r="K27" s="250"/>
      <c r="L27" s="250"/>
      <c r="M27" s="483">
        <v>0</v>
      </c>
      <c r="N27" s="250"/>
      <c r="O27" s="250"/>
      <c r="P27" s="483">
        <v>0</v>
      </c>
      <c r="Q27" s="250"/>
      <c r="R27" s="250"/>
      <c r="S27" s="483">
        <v>0</v>
      </c>
      <c r="T27" s="250"/>
      <c r="U27" s="250"/>
      <c r="V27" s="483">
        <v>0</v>
      </c>
      <c r="W27" s="250"/>
      <c r="X27" s="250"/>
      <c r="Y27" s="483">
        <v>0</v>
      </c>
      <c r="Z27" s="250"/>
      <c r="AA27" s="250"/>
      <c r="AB27" s="483">
        <v>0</v>
      </c>
      <c r="AC27" s="250"/>
      <c r="AD27" s="250"/>
      <c r="AE27" s="483">
        <v>0</v>
      </c>
      <c r="AF27" s="250"/>
      <c r="AG27" s="250"/>
      <c r="AH27" s="531">
        <v>10000</v>
      </c>
      <c r="AI27" s="250"/>
      <c r="AJ27" s="250"/>
      <c r="AK27" s="483">
        <v>0</v>
      </c>
      <c r="AL27" s="504">
        <f>SUM(D27:AK27)</f>
        <v>11000</v>
      </c>
      <c r="AM27" s="483">
        <v>0</v>
      </c>
      <c r="AN27" s="250"/>
      <c r="AO27" s="250"/>
      <c r="AP27" s="483">
        <v>0</v>
      </c>
      <c r="AQ27" s="250"/>
      <c r="AR27" s="250"/>
      <c r="AS27" s="483">
        <v>0</v>
      </c>
      <c r="AT27" s="250"/>
      <c r="AU27" s="250"/>
      <c r="AV27" s="483">
        <v>0</v>
      </c>
      <c r="AW27" s="250"/>
      <c r="AX27" s="250"/>
      <c r="AY27" s="483">
        <v>0</v>
      </c>
      <c r="AZ27" s="250"/>
      <c r="BA27" s="250"/>
      <c r="BB27" s="483">
        <v>0</v>
      </c>
      <c r="BC27" s="250"/>
      <c r="BD27" s="250"/>
      <c r="BE27" s="483">
        <v>0</v>
      </c>
      <c r="BF27" s="250"/>
      <c r="BG27" s="250"/>
      <c r="BH27" s="483">
        <v>0</v>
      </c>
      <c r="BI27" s="250"/>
      <c r="BJ27" s="250"/>
      <c r="BK27" s="483">
        <v>0</v>
      </c>
      <c r="BL27" s="250"/>
      <c r="BM27" s="250"/>
      <c r="BN27" s="483">
        <v>0</v>
      </c>
      <c r="BO27" s="250"/>
      <c r="BP27" s="250"/>
      <c r="BQ27" s="531">
        <v>5000</v>
      </c>
      <c r="BR27" s="250"/>
      <c r="BS27" s="250"/>
      <c r="BT27" s="483">
        <v>0</v>
      </c>
      <c r="BU27" s="504">
        <f t="shared" ref="BU27" si="82">SUM(AM27:BT27)</f>
        <v>5000</v>
      </c>
    </row>
    <row r="28" spans="1:73" s="552" customFormat="1" x14ac:dyDescent="0.2">
      <c r="A28" s="569"/>
      <c r="B28" s="481"/>
      <c r="C28" s="570" t="s">
        <v>102</v>
      </c>
      <c r="D28" s="571">
        <f>SUM(D26:D27)</f>
        <v>1000</v>
      </c>
      <c r="G28" s="571">
        <f>SUM(G26:G27)</f>
        <v>0</v>
      </c>
      <c r="J28" s="571">
        <f t="shared" ref="J28" si="83">SUM(J26:J27)</f>
        <v>0</v>
      </c>
      <c r="M28" s="571">
        <f t="shared" ref="M28" si="84">SUM(M26:M27)</f>
        <v>0</v>
      </c>
      <c r="P28" s="571">
        <f t="shared" ref="P28" si="85">SUM(P26:P27)</f>
        <v>0</v>
      </c>
      <c r="S28" s="571">
        <f t="shared" ref="S28" si="86">SUM(S26:S27)</f>
        <v>0</v>
      </c>
      <c r="V28" s="571">
        <f t="shared" ref="V28" si="87">SUM(V26:V27)</f>
        <v>0</v>
      </c>
      <c r="Y28" s="571">
        <f t="shared" ref="Y28" si="88">SUM(Y26:Y27)</f>
        <v>0</v>
      </c>
      <c r="AB28" s="571">
        <f t="shared" ref="AB28" si="89">SUM(AB26:AB27)</f>
        <v>0</v>
      </c>
      <c r="AE28" s="571">
        <f t="shared" ref="AE28" si="90">SUM(AE26:AE27)</f>
        <v>0</v>
      </c>
      <c r="AH28" s="571">
        <f t="shared" ref="AH28" si="91">SUM(AH26:AH27)</f>
        <v>14000</v>
      </c>
      <c r="AI28" s="571"/>
      <c r="AJ28" s="571"/>
      <c r="AK28" s="571">
        <f>SUM(AK26:AK26)</f>
        <v>0</v>
      </c>
      <c r="AL28" s="554">
        <f>SUM(D28:AK28)</f>
        <v>15000</v>
      </c>
      <c r="AM28" s="571">
        <f>SUM(AM26:AM26)</f>
        <v>0</v>
      </c>
      <c r="AP28" s="571">
        <f>SUM(AP26:AP26)</f>
        <v>0</v>
      </c>
      <c r="AS28" s="571">
        <f>SUM(AS26:AS26)</f>
        <v>0</v>
      </c>
      <c r="AV28" s="571">
        <f>SUM(AV26:AV26)</f>
        <v>0</v>
      </c>
      <c r="AY28" s="571">
        <f>SUM(AY26:AY26)</f>
        <v>0</v>
      </c>
      <c r="BB28" s="571">
        <f>SUM(BB26:BB26)</f>
        <v>0</v>
      </c>
      <c r="BE28" s="571">
        <f>SUM(BE26:BE26)</f>
        <v>0</v>
      </c>
      <c r="BH28" s="571">
        <f>SUM(BH26:BH26)</f>
        <v>0</v>
      </c>
      <c r="BI28" s="571"/>
      <c r="BJ28" s="571"/>
      <c r="BK28" s="571">
        <f>SUM(BK26:BK26)</f>
        <v>0</v>
      </c>
      <c r="BL28" s="571"/>
      <c r="BM28" s="571"/>
      <c r="BN28" s="571">
        <f>SUM(BN26:BN26)</f>
        <v>0</v>
      </c>
      <c r="BO28" s="571"/>
      <c r="BP28" s="571"/>
      <c r="BQ28" s="533">
        <f>SUM(BQ26:BQ26)</f>
        <v>4000</v>
      </c>
      <c r="BR28" s="571"/>
      <c r="BS28" s="571"/>
      <c r="BT28" s="572">
        <f>SUM(BT26:BT26)</f>
        <v>0</v>
      </c>
      <c r="BU28" s="554">
        <f>SUM(AM28:BT28)</f>
        <v>4000</v>
      </c>
    </row>
    <row r="29" spans="1:73" ht="6" customHeight="1" x14ac:dyDescent="0.2">
      <c r="A29" s="561"/>
      <c r="C29" s="551"/>
      <c r="D29" s="483"/>
      <c r="G29" s="483"/>
      <c r="J29" s="483"/>
      <c r="M29" s="483"/>
      <c r="P29" s="483"/>
      <c r="S29" s="483"/>
      <c r="V29" s="483"/>
      <c r="Y29" s="483"/>
      <c r="Z29" s="483"/>
      <c r="AA29" s="483"/>
      <c r="AB29" s="483"/>
      <c r="AC29" s="483"/>
      <c r="AD29" s="483"/>
      <c r="AE29" s="483"/>
      <c r="AF29" s="483"/>
      <c r="AG29" s="483"/>
      <c r="AH29" s="483"/>
      <c r="AI29" s="483"/>
      <c r="AJ29" s="483"/>
      <c r="AK29" s="483"/>
      <c r="AL29" s="504"/>
      <c r="AM29" s="483"/>
      <c r="AP29" s="483"/>
      <c r="AS29" s="483"/>
      <c r="AV29" s="483"/>
      <c r="AY29" s="483"/>
      <c r="BB29" s="483"/>
      <c r="BE29" s="483"/>
      <c r="BH29" s="483"/>
      <c r="BI29" s="483"/>
      <c r="BJ29" s="483"/>
      <c r="BK29" s="483"/>
      <c r="BL29" s="483"/>
      <c r="BM29" s="483"/>
      <c r="BN29" s="483"/>
      <c r="BO29" s="483"/>
      <c r="BP29" s="483"/>
      <c r="BQ29" s="483"/>
      <c r="BR29" s="483"/>
      <c r="BS29" s="483"/>
      <c r="BT29" s="534"/>
      <c r="BU29" s="504"/>
    </row>
    <row r="30" spans="1:73" s="215" customFormat="1" x14ac:dyDescent="0.2">
      <c r="A30" s="481" t="s">
        <v>103</v>
      </c>
      <c r="C30" s="565"/>
      <c r="D30" s="293"/>
      <c r="G30" s="293"/>
      <c r="J30" s="293"/>
      <c r="M30" s="293"/>
      <c r="P30" s="293"/>
      <c r="S30" s="293"/>
      <c r="V30" s="293"/>
      <c r="Y30" s="293"/>
      <c r="Z30" s="293"/>
      <c r="AA30" s="293"/>
      <c r="AB30" s="293"/>
      <c r="AC30" s="293"/>
      <c r="AD30" s="293"/>
      <c r="AE30" s="293"/>
      <c r="AF30" s="293"/>
      <c r="AG30" s="293"/>
      <c r="AH30" s="293"/>
      <c r="AI30" s="293"/>
      <c r="AJ30" s="293"/>
      <c r="AK30" s="293"/>
      <c r="AL30" s="504"/>
      <c r="AM30" s="293"/>
      <c r="AP30" s="293"/>
      <c r="AS30" s="293"/>
      <c r="AV30" s="293"/>
      <c r="AY30" s="293"/>
      <c r="BB30" s="293"/>
      <c r="BE30" s="293"/>
      <c r="BH30" s="293"/>
      <c r="BI30" s="293"/>
      <c r="BJ30" s="293"/>
      <c r="BK30" s="293"/>
      <c r="BL30" s="293"/>
      <c r="BM30" s="293"/>
      <c r="BN30" s="293"/>
      <c r="BO30" s="293"/>
      <c r="BP30" s="293"/>
      <c r="BQ30" s="293"/>
      <c r="BR30" s="293"/>
      <c r="BS30" s="293"/>
      <c r="BT30" s="534"/>
      <c r="BU30" s="504"/>
    </row>
    <row r="31" spans="1:73" s="215" customFormat="1" ht="30" customHeight="1" x14ac:dyDescent="0.2">
      <c r="A31" s="573">
        <v>78660</v>
      </c>
      <c r="B31" s="481"/>
      <c r="C31" s="482" t="s">
        <v>281</v>
      </c>
      <c r="D31" s="483">
        <v>0</v>
      </c>
      <c r="E31" s="250"/>
      <c r="F31" s="250"/>
      <c r="G31" s="483">
        <v>0</v>
      </c>
      <c r="H31" s="250"/>
      <c r="I31" s="250"/>
      <c r="J31" s="483">
        <v>0</v>
      </c>
      <c r="K31" s="250"/>
      <c r="L31" s="250"/>
      <c r="M31" s="483">
        <v>0</v>
      </c>
      <c r="N31" s="250"/>
      <c r="O31" s="250"/>
      <c r="P31" s="483">
        <v>0</v>
      </c>
      <c r="Q31" s="250"/>
      <c r="R31" s="250"/>
      <c r="S31" s="483">
        <v>0</v>
      </c>
      <c r="T31" s="250"/>
      <c r="U31" s="250"/>
      <c r="V31" s="483">
        <f>S31</f>
        <v>0</v>
      </c>
      <c r="W31" s="250"/>
      <c r="X31" s="250"/>
      <c r="Y31" s="483">
        <f>V31</f>
        <v>0</v>
      </c>
      <c r="Z31" s="250"/>
      <c r="AA31" s="250"/>
      <c r="AB31" s="483">
        <f>Y31</f>
        <v>0</v>
      </c>
      <c r="AC31" s="250"/>
      <c r="AD31" s="250"/>
      <c r="AE31" s="483">
        <v>0</v>
      </c>
      <c r="AF31" s="250"/>
      <c r="AG31" s="250"/>
      <c r="AH31" s="531">
        <v>10000</v>
      </c>
      <c r="AI31" s="250"/>
      <c r="AJ31" s="250"/>
      <c r="AK31" s="483"/>
      <c r="AL31" s="564">
        <f>SUM(D31:AK31)</f>
        <v>10000</v>
      </c>
      <c r="AM31" s="483">
        <v>0</v>
      </c>
      <c r="AN31" s="250"/>
      <c r="AO31" s="250"/>
      <c r="AP31" s="483">
        <v>0</v>
      </c>
      <c r="AQ31" s="250"/>
      <c r="AR31" s="250"/>
      <c r="AS31" s="483">
        <v>0</v>
      </c>
      <c r="AT31" s="250"/>
      <c r="AU31" s="250"/>
      <c r="AV31" s="483">
        <v>0</v>
      </c>
      <c r="AW31" s="250"/>
      <c r="AX31" s="250"/>
      <c r="AY31" s="483">
        <v>0</v>
      </c>
      <c r="AZ31" s="250"/>
      <c r="BA31" s="250"/>
      <c r="BB31" s="483">
        <v>0</v>
      </c>
      <c r="BC31" s="250"/>
      <c r="BD31" s="250"/>
      <c r="BE31" s="483">
        <f>BB31</f>
        <v>0</v>
      </c>
      <c r="BF31" s="250"/>
      <c r="BG31" s="250"/>
      <c r="BH31" s="483">
        <f>BE31</f>
        <v>0</v>
      </c>
      <c r="BI31" s="250"/>
      <c r="BJ31" s="250"/>
      <c r="BK31" s="483">
        <f>BH31</f>
        <v>0</v>
      </c>
      <c r="BL31" s="250"/>
      <c r="BM31" s="250"/>
      <c r="BN31" s="483">
        <v>0</v>
      </c>
      <c r="BO31" s="250"/>
      <c r="BP31" s="250"/>
      <c r="BQ31" s="531">
        <v>15000</v>
      </c>
      <c r="BR31" s="250"/>
      <c r="BS31" s="250"/>
      <c r="BT31" s="534"/>
      <c r="BU31" s="564">
        <f>SUM(AM31:BT31)</f>
        <v>15000</v>
      </c>
    </row>
    <row r="32" spans="1:73" s="552" customFormat="1" x14ac:dyDescent="0.2">
      <c r="A32" s="569"/>
      <c r="B32" s="481"/>
      <c r="C32" s="570" t="s">
        <v>105</v>
      </c>
      <c r="D32" s="571">
        <f>SUM(D31:D31)</f>
        <v>0</v>
      </c>
      <c r="G32" s="571">
        <f>SUM(G31:G31)</f>
        <v>0</v>
      </c>
      <c r="J32" s="571">
        <f>SUM(J31:J31)</f>
        <v>0</v>
      </c>
      <c r="M32" s="571">
        <f>SUM(M31:M31)</f>
        <v>0</v>
      </c>
      <c r="P32" s="571">
        <f>SUM(P31:P31)</f>
        <v>0</v>
      </c>
      <c r="S32" s="571">
        <f>SUM(S31:S31)</f>
        <v>0</v>
      </c>
      <c r="V32" s="571">
        <f>SUM(V31:V31)</f>
        <v>0</v>
      </c>
      <c r="Y32" s="571">
        <f>SUM(Y31:Y31)</f>
        <v>0</v>
      </c>
      <c r="Z32" s="571"/>
      <c r="AA32" s="571"/>
      <c r="AB32" s="571">
        <f>SUM(AB31:AB31)</f>
        <v>0</v>
      </c>
      <c r="AC32" s="571"/>
      <c r="AD32" s="571"/>
      <c r="AE32" s="571">
        <f>SUM(AE31:AE31)</f>
        <v>0</v>
      </c>
      <c r="AF32" s="571"/>
      <c r="AG32" s="571"/>
      <c r="AH32" s="533">
        <f>SUM(AH31:AH31)</f>
        <v>10000</v>
      </c>
      <c r="AI32" s="571"/>
      <c r="AJ32" s="571"/>
      <c r="AK32" s="571">
        <f>SUM(AK31:AK31)</f>
        <v>0</v>
      </c>
      <c r="AL32" s="554">
        <f>SUM(D32:AK32)</f>
        <v>10000</v>
      </c>
      <c r="AM32" s="571">
        <f>SUM(AM31:AM31)</f>
        <v>0</v>
      </c>
      <c r="AP32" s="571">
        <f>SUM(AP31:AP31)</f>
        <v>0</v>
      </c>
      <c r="AS32" s="571">
        <f>SUM(AS31:AS31)</f>
        <v>0</v>
      </c>
      <c r="AV32" s="571">
        <f>SUM(AV31:AV31)</f>
        <v>0</v>
      </c>
      <c r="AY32" s="571">
        <f>SUM(AY31:AY31)</f>
        <v>0</v>
      </c>
      <c r="BB32" s="571">
        <f>SUM(BB31:BB31)</f>
        <v>0</v>
      </c>
      <c r="BE32" s="571">
        <f>SUM(BE31:BE31)</f>
        <v>0</v>
      </c>
      <c r="BH32" s="571">
        <f>SUM(BH31:BH31)</f>
        <v>0</v>
      </c>
      <c r="BI32" s="571"/>
      <c r="BJ32" s="571"/>
      <c r="BK32" s="571">
        <f>SUM(BK31:BK31)</f>
        <v>0</v>
      </c>
      <c r="BL32" s="571"/>
      <c r="BM32" s="571"/>
      <c r="BN32" s="571">
        <f>SUM(BN31:BN31)</f>
        <v>0</v>
      </c>
      <c r="BO32" s="571"/>
      <c r="BP32" s="571"/>
      <c r="BQ32" s="533">
        <f>SUM(BQ31:BQ31)</f>
        <v>15000</v>
      </c>
      <c r="BR32" s="571"/>
      <c r="BS32" s="571"/>
      <c r="BT32" s="572">
        <f>SUM(BT31:BT31)</f>
        <v>0</v>
      </c>
      <c r="BU32" s="554">
        <f>SUM(AM32:BT32)</f>
        <v>15000</v>
      </c>
    </row>
    <row r="33" spans="1:73" ht="6" customHeight="1" x14ac:dyDescent="0.2">
      <c r="A33" s="561"/>
      <c r="C33" s="551"/>
      <c r="D33" s="483"/>
      <c r="G33" s="483"/>
      <c r="J33" s="483"/>
      <c r="M33" s="483"/>
      <c r="P33" s="483"/>
      <c r="S33" s="483"/>
      <c r="V33" s="483"/>
      <c r="Y33" s="483"/>
      <c r="Z33" s="483"/>
      <c r="AA33" s="483"/>
      <c r="AB33" s="483"/>
      <c r="AC33" s="483"/>
      <c r="AD33" s="483"/>
      <c r="AE33" s="483"/>
      <c r="AF33" s="483"/>
      <c r="AG33" s="483"/>
      <c r="AH33" s="483"/>
      <c r="AI33" s="483"/>
      <c r="AJ33" s="483"/>
      <c r="AK33" s="483"/>
      <c r="AL33" s="504"/>
      <c r="AM33" s="483"/>
      <c r="AP33" s="483"/>
      <c r="AS33" s="483"/>
      <c r="AV33" s="483"/>
      <c r="AY33" s="483"/>
      <c r="BB33" s="483"/>
      <c r="BE33" s="483"/>
      <c r="BH33" s="483"/>
      <c r="BI33" s="483"/>
      <c r="BJ33" s="483"/>
      <c r="BK33" s="483"/>
      <c r="BL33" s="483"/>
      <c r="BM33" s="483"/>
      <c r="BN33" s="483"/>
      <c r="BO33" s="483"/>
      <c r="BP33" s="483"/>
      <c r="BQ33" s="483"/>
      <c r="BR33" s="483"/>
      <c r="BS33" s="483"/>
      <c r="BT33" s="534"/>
      <c r="BU33" s="504"/>
    </row>
    <row r="34" spans="1:73" s="552" customFormat="1" x14ac:dyDescent="0.2">
      <c r="B34" s="481"/>
      <c r="C34" s="535" t="s">
        <v>106</v>
      </c>
      <c r="D34" s="571">
        <f>D32+D28+D23</f>
        <v>17141.629999999997</v>
      </c>
      <c r="G34" s="571">
        <f>G32+G28+G23</f>
        <v>16141.63</v>
      </c>
      <c r="J34" s="571">
        <f>J32+J28+J23</f>
        <v>16141.63</v>
      </c>
      <c r="M34" s="571">
        <f>M32+M28+M23</f>
        <v>16141.63</v>
      </c>
      <c r="P34" s="571">
        <f>P32+P28+P23</f>
        <v>16141.63</v>
      </c>
      <c r="S34" s="571">
        <f>S32+S28+S23</f>
        <v>16141.63</v>
      </c>
      <c r="V34" s="571">
        <f>V32+V28+V23</f>
        <v>16141.63</v>
      </c>
      <c r="Y34" s="571">
        <f>Y32+Y28+Y23</f>
        <v>16141.63</v>
      </c>
      <c r="AB34" s="571">
        <f>AB32+AB28+AB23</f>
        <v>16141.63</v>
      </c>
      <c r="AE34" s="571">
        <f>AE32+AE28+AE23</f>
        <v>16141.63</v>
      </c>
      <c r="AH34" s="571">
        <f>AH32+AH28+AH23</f>
        <v>40141.629999999997</v>
      </c>
      <c r="AK34" s="571">
        <f>AK32+AK28+AK23</f>
        <v>16141.63</v>
      </c>
      <c r="AL34" s="554">
        <f>SUM(D34:AK34)</f>
        <v>218699.56000000003</v>
      </c>
      <c r="AM34" s="571">
        <f>AM32+AM28+AM23</f>
        <v>16639.099999999999</v>
      </c>
      <c r="AP34" s="571">
        <f>AP32+AP28+AP23</f>
        <v>16639.099999999999</v>
      </c>
      <c r="AS34" s="571">
        <f>AS32+AS28+AS23</f>
        <v>16639.099999999999</v>
      </c>
      <c r="AV34" s="571">
        <f>AV32+AV28+AV23</f>
        <v>16639.099999999999</v>
      </c>
      <c r="AY34" s="571">
        <f>AY32+AY28+AY23</f>
        <v>16639.099999999999</v>
      </c>
      <c r="BB34" s="571">
        <f>BB32+BB28+BB23</f>
        <v>16639.099999999999</v>
      </c>
      <c r="BE34" s="571">
        <f>BE32+BE28+BE23</f>
        <v>16639.099999999999</v>
      </c>
      <c r="BH34" s="571">
        <f>BH32+BH28+BH23</f>
        <v>16639.099999999999</v>
      </c>
      <c r="BK34" s="571">
        <f>BK32+BK28+BK23</f>
        <v>16639.099999999999</v>
      </c>
      <c r="BN34" s="571">
        <f>BN32+BN28+BN23</f>
        <v>16639.099999999999</v>
      </c>
      <c r="BQ34" s="571">
        <f>BQ32+BQ28+BQ23</f>
        <v>35639.1</v>
      </c>
      <c r="BT34" s="571">
        <f>BT32+BT28+BT23</f>
        <v>0</v>
      </c>
      <c r="BU34" s="554">
        <f>SUM(AM34:BT34)</f>
        <v>202030.10000000003</v>
      </c>
    </row>
    <row r="35" spans="1:73" ht="6" customHeight="1" x14ac:dyDescent="0.2">
      <c r="C35" s="551"/>
      <c r="D35" s="483"/>
      <c r="G35" s="483"/>
      <c r="J35" s="483"/>
      <c r="M35" s="483"/>
      <c r="P35" s="483"/>
      <c r="S35" s="483"/>
      <c r="V35" s="483"/>
      <c r="Y35" s="483"/>
      <c r="Z35" s="483"/>
      <c r="AA35" s="483"/>
      <c r="AB35" s="483"/>
      <c r="AC35" s="483"/>
      <c r="AD35" s="483"/>
      <c r="AE35" s="483"/>
      <c r="AF35" s="483"/>
      <c r="AG35" s="483"/>
      <c r="AH35" s="483"/>
      <c r="AI35" s="483"/>
      <c r="AJ35" s="483"/>
      <c r="AK35" s="483"/>
      <c r="AL35" s="504"/>
      <c r="AM35" s="483"/>
      <c r="AP35" s="483"/>
      <c r="AS35" s="483"/>
      <c r="AV35" s="483"/>
      <c r="AY35" s="483"/>
      <c r="BB35" s="483"/>
      <c r="BE35" s="483"/>
      <c r="BH35" s="483"/>
      <c r="BI35" s="483"/>
      <c r="BJ35" s="483"/>
      <c r="BK35" s="483"/>
      <c r="BL35" s="483"/>
      <c r="BM35" s="483"/>
      <c r="BN35" s="483"/>
      <c r="BO35" s="483"/>
      <c r="BP35" s="483"/>
      <c r="BQ35" s="483"/>
      <c r="BR35" s="483"/>
      <c r="BS35" s="483"/>
      <c r="BT35" s="483"/>
      <c r="BU35" s="504"/>
    </row>
    <row r="36" spans="1:73" s="215" customFormat="1" x14ac:dyDescent="0.2">
      <c r="A36" s="481" t="s">
        <v>107</v>
      </c>
      <c r="C36" s="565"/>
      <c r="D36" s="293">
        <f>D3+D6-D34+D7</f>
        <v>216858.37</v>
      </c>
      <c r="G36" s="293">
        <f>G3+G6-G34+G7</f>
        <v>200716.74</v>
      </c>
      <c r="J36" s="293">
        <f t="shared" ref="J36" si="92">J3+J6-J34+J7</f>
        <v>184575.11</v>
      </c>
      <c r="M36" s="293">
        <f t="shared" ref="M36" si="93">M3+M6-M34+M7</f>
        <v>168433.47999999998</v>
      </c>
      <c r="P36" s="293">
        <f t="shared" ref="P36" si="94">P3+P6-P34+P7</f>
        <v>152291.84999999998</v>
      </c>
      <c r="S36" s="293">
        <f t="shared" ref="S36" si="95">S3+S6-S34+S7</f>
        <v>136150.21999999997</v>
      </c>
      <c r="V36" s="293">
        <f t="shared" ref="V36" si="96">V3+V6-V34+V7</f>
        <v>120008.58999999997</v>
      </c>
      <c r="Y36" s="293">
        <f t="shared" ref="Y36" si="97">Y3+Y6-Y34+Y7</f>
        <v>103866.95999999996</v>
      </c>
      <c r="AB36" s="293">
        <f t="shared" ref="AB36" si="98">AB3+AB6-AB34+AB7</f>
        <v>87725.329999999958</v>
      </c>
      <c r="AE36" s="293">
        <f t="shared" ref="AE36" si="99">AE3+AE6-AE34+AE7</f>
        <v>71583.699999999953</v>
      </c>
      <c r="AH36" s="293">
        <f t="shared" ref="AH36" si="100">AH3+AH6-AH34+AH7</f>
        <v>31442.069999999956</v>
      </c>
      <c r="AK36" s="293">
        <f t="shared" ref="AK36" si="101">AK3+AK6-AK34+AK7</f>
        <v>0</v>
      </c>
      <c r="AL36" s="504">
        <f>D3+AL7-AL34</f>
        <v>0</v>
      </c>
      <c r="AM36" s="293">
        <f>AM3+AM6-AM34+AM7</f>
        <v>248661.34</v>
      </c>
      <c r="AP36" s="293">
        <f>AP3+AP6-AP34+AP7</f>
        <v>232022.24</v>
      </c>
      <c r="AS36" s="293">
        <f t="shared" ref="AS36" si="102">AS3+AS6-AS34+AS7</f>
        <v>215383.13999999998</v>
      </c>
      <c r="AV36" s="293">
        <f t="shared" ref="AV36" si="103">AV3+AV6-AV34+AV7</f>
        <v>198744.03999999998</v>
      </c>
      <c r="AY36" s="293">
        <f t="shared" ref="AY36" si="104">AY3+AY6-AY34+AY7</f>
        <v>182104.93999999997</v>
      </c>
      <c r="BB36" s="293">
        <f t="shared" ref="BB36" si="105">BB3+BB6-BB34+BB7</f>
        <v>165465.83999999997</v>
      </c>
      <c r="BE36" s="293">
        <f t="shared" ref="BE36" si="106">BE3+BE6-BE34+BE7</f>
        <v>148826.73999999996</v>
      </c>
      <c r="BH36" s="293">
        <f t="shared" ref="BH36" si="107">BH3+BH6-BH34+BH7</f>
        <v>132187.63999999996</v>
      </c>
      <c r="BK36" s="293">
        <f t="shared" ref="BK36" si="108">BK3+BK6-BK34+BK7</f>
        <v>115548.53999999995</v>
      </c>
      <c r="BN36" s="293">
        <f t="shared" ref="BN36" si="109">BN3+BN6-BN34+BN7</f>
        <v>98909.439999999944</v>
      </c>
      <c r="BQ36" s="293">
        <f t="shared" ref="BQ36" si="110">BQ3+BQ6-BQ34+BQ7</f>
        <v>63270.339999999946</v>
      </c>
      <c r="BT36" s="293">
        <f t="shared" ref="BT36" si="111">BT3+BT6-BT34+BT7</f>
        <v>0</v>
      </c>
      <c r="BU36" s="504">
        <f>AM3+BU7-BU34</f>
        <v>0</v>
      </c>
    </row>
    <row r="37" spans="1:73" s="215" customFormat="1" x14ac:dyDescent="0.2">
      <c r="B37" s="481"/>
      <c r="C37" s="565"/>
      <c r="D37" s="250"/>
      <c r="E37" s="250"/>
      <c r="F37" s="250"/>
      <c r="G37" s="250"/>
      <c r="H37" s="250"/>
      <c r="I37" s="250"/>
      <c r="J37" s="250"/>
      <c r="K37" s="250"/>
      <c r="L37" s="250"/>
      <c r="M37" s="503"/>
      <c r="N37" s="250"/>
      <c r="O37" s="250"/>
      <c r="P37" s="250"/>
      <c r="Q37" s="250"/>
      <c r="R37" s="250"/>
      <c r="S37" s="250"/>
      <c r="T37" s="250"/>
      <c r="U37" s="250"/>
      <c r="V37" s="250"/>
      <c r="W37" s="250"/>
      <c r="X37" s="250"/>
      <c r="Y37" s="250"/>
      <c r="Z37" s="250"/>
      <c r="AA37" s="250"/>
      <c r="AB37" s="250"/>
      <c r="AC37" s="250"/>
      <c r="AD37" s="250"/>
      <c r="AF37" s="250"/>
      <c r="AG37" s="250"/>
      <c r="AI37" s="250"/>
      <c r="AJ37" s="250"/>
      <c r="AL37" s="250"/>
      <c r="AN37" s="250"/>
      <c r="AO37" s="250"/>
      <c r="AQ37" s="250"/>
      <c r="AR37" s="250"/>
      <c r="AS37" s="250"/>
      <c r="AT37" s="250"/>
      <c r="AU37" s="250"/>
      <c r="AV37" s="503"/>
      <c r="AW37" s="250"/>
      <c r="AX37" s="250"/>
      <c r="AY37" s="250"/>
      <c r="AZ37" s="250"/>
      <c r="BA37" s="250"/>
      <c r="BB37" s="250"/>
      <c r="BC37" s="250"/>
      <c r="BD37" s="250"/>
      <c r="BE37" s="250"/>
      <c r="BF37" s="250"/>
      <c r="BG37" s="250"/>
      <c r="BH37" s="250"/>
      <c r="BI37" s="250"/>
      <c r="BJ37" s="250"/>
      <c r="BK37" s="250"/>
      <c r="BL37" s="250"/>
      <c r="BM37" s="250"/>
      <c r="BO37" s="250"/>
      <c r="BP37" s="250"/>
      <c r="BR37" s="250"/>
      <c r="BS37" s="250"/>
      <c r="BU37" s="250"/>
    </row>
    <row r="38" spans="1:73" s="215" customFormat="1" x14ac:dyDescent="0.2">
      <c r="B38" s="481"/>
      <c r="C38" s="328"/>
      <c r="D38" s="250"/>
      <c r="E38" s="250"/>
      <c r="F38" s="250"/>
      <c r="G38" s="250"/>
      <c r="H38" s="250"/>
      <c r="I38" s="250"/>
      <c r="J38" s="250"/>
      <c r="K38" s="250"/>
      <c r="L38" s="250"/>
      <c r="M38" s="250"/>
      <c r="N38" s="250"/>
      <c r="O38" s="250"/>
      <c r="P38" s="250"/>
      <c r="Q38" s="250"/>
      <c r="R38" s="250"/>
      <c r="S38" s="253"/>
      <c r="T38" s="250"/>
      <c r="U38" s="250"/>
      <c r="V38" s="253"/>
      <c r="W38" s="250"/>
      <c r="X38" s="250"/>
      <c r="Y38" s="293"/>
      <c r="Z38" s="250"/>
      <c r="AA38" s="250"/>
      <c r="AB38" s="293"/>
      <c r="AC38" s="250"/>
      <c r="AD38" s="250"/>
      <c r="AE38" s="250"/>
      <c r="AF38" s="250"/>
      <c r="AG38" s="532" t="s">
        <v>306</v>
      </c>
      <c r="AH38" s="501">
        <f>AH36</f>
        <v>31442.069999999956</v>
      </c>
      <c r="AM38" s="250"/>
      <c r="AN38" s="250"/>
      <c r="AO38" s="250"/>
      <c r="AP38" s="250"/>
      <c r="AQ38" s="250"/>
      <c r="AR38" s="250"/>
      <c r="AS38" s="250"/>
      <c r="AT38" s="250"/>
      <c r="AU38" s="250"/>
      <c r="AV38" s="250"/>
      <c r="AW38" s="250"/>
      <c r="AX38" s="250"/>
      <c r="AY38" s="250"/>
      <c r="AZ38" s="250"/>
      <c r="BA38" s="250"/>
      <c r="BB38" s="253"/>
      <c r="BC38" s="250"/>
      <c r="BD38" s="250"/>
      <c r="BE38" s="253"/>
      <c r="BF38" s="250"/>
      <c r="BG38" s="250"/>
      <c r="BH38" s="293"/>
      <c r="BI38" s="250"/>
      <c r="BJ38" s="250"/>
      <c r="BK38" s="293"/>
      <c r="BL38" s="250"/>
      <c r="BM38" s="250"/>
      <c r="BN38" s="250"/>
      <c r="BO38" s="250"/>
      <c r="BP38" s="532" t="s">
        <v>109</v>
      </c>
      <c r="BQ38" s="501">
        <f>BQ36</f>
        <v>63270.339999999946</v>
      </c>
      <c r="BR38" s="250"/>
      <c r="BS38" s="250"/>
    </row>
    <row r="39" spans="1:73" s="215" customFormat="1" ht="28.5" customHeight="1" x14ac:dyDescent="0.2">
      <c r="B39" s="481"/>
      <c r="C39" s="574"/>
      <c r="D39" s="250"/>
      <c r="E39" s="250"/>
      <c r="F39" s="250"/>
      <c r="G39" s="250"/>
      <c r="H39" s="250"/>
      <c r="I39" s="250"/>
      <c r="J39" s="250"/>
      <c r="K39" s="250"/>
      <c r="L39" s="250"/>
      <c r="M39" s="250"/>
      <c r="N39" s="250"/>
      <c r="O39" s="250"/>
      <c r="P39" s="250"/>
      <c r="Q39" s="250"/>
      <c r="R39" s="250"/>
      <c r="S39" s="535"/>
      <c r="U39" s="565"/>
      <c r="V39" s="597" t="s">
        <v>305</v>
      </c>
      <c r="W39" s="599"/>
      <c r="X39" s="599"/>
      <c r="Y39" s="599"/>
      <c r="Z39" s="599"/>
      <c r="AA39" s="599"/>
      <c r="AB39" s="599"/>
      <c r="AC39" s="599"/>
      <c r="AD39" s="599"/>
      <c r="AE39" s="599"/>
      <c r="AF39" s="599"/>
      <c r="AG39" s="599"/>
      <c r="AH39" s="537">
        <f>AH38/250000</f>
        <v>0.12576827999999982</v>
      </c>
      <c r="AI39" s="536"/>
      <c r="AJ39" s="536"/>
      <c r="AM39" s="250"/>
      <c r="AN39" s="250"/>
      <c r="AO39" s="250"/>
      <c r="AP39" s="250"/>
      <c r="AQ39" s="250"/>
      <c r="AR39" s="250"/>
      <c r="AS39" s="250"/>
      <c r="AT39" s="250"/>
      <c r="AU39" s="250"/>
      <c r="AV39" s="250"/>
      <c r="AW39" s="250"/>
      <c r="AX39" s="250"/>
      <c r="AY39" s="250"/>
      <c r="AZ39" s="250"/>
      <c r="BA39" s="250"/>
      <c r="BB39" s="535"/>
      <c r="BD39" s="565"/>
      <c r="BE39" s="597" t="s">
        <v>115</v>
      </c>
      <c r="BF39" s="598"/>
      <c r="BG39" s="598"/>
      <c r="BH39" s="598"/>
      <c r="BI39" s="598"/>
      <c r="BJ39" s="598"/>
      <c r="BK39" s="598"/>
      <c r="BL39" s="598"/>
      <c r="BM39" s="598"/>
      <c r="BN39" s="598"/>
      <c r="BO39" s="598"/>
      <c r="BP39" s="598"/>
      <c r="BQ39" s="537">
        <f>BQ38/250000</f>
        <v>0.25308135999999976</v>
      </c>
      <c r="BR39" s="565"/>
      <c r="BS39" s="565"/>
      <c r="BT39" s="565"/>
    </row>
    <row r="40" spans="1:73" s="215" customFormat="1" x14ac:dyDescent="0.2">
      <c r="B40" s="481"/>
      <c r="C40" s="565"/>
      <c r="D40" s="250"/>
      <c r="E40" s="250"/>
      <c r="F40" s="250"/>
      <c r="G40" s="250"/>
      <c r="H40" s="250"/>
      <c r="I40" s="250"/>
      <c r="J40" s="250"/>
      <c r="K40" s="250"/>
      <c r="L40" s="250"/>
      <c r="M40" s="503"/>
      <c r="N40" s="250"/>
      <c r="O40" s="250"/>
      <c r="P40" s="250"/>
      <c r="Q40" s="250"/>
      <c r="R40" s="250"/>
      <c r="S40" s="253"/>
      <c r="T40" s="250"/>
      <c r="U40" s="250"/>
      <c r="V40" s="250"/>
      <c r="W40" s="250"/>
      <c r="X40" s="250"/>
      <c r="Y40" s="575"/>
      <c r="Z40" s="250"/>
      <c r="AA40" s="250"/>
      <c r="AB40" s="575"/>
      <c r="AC40" s="250"/>
      <c r="AD40" s="250"/>
      <c r="AE40" s="250"/>
      <c r="AF40" s="250"/>
      <c r="AG40" s="250"/>
      <c r="AH40" s="250"/>
      <c r="AI40" s="250"/>
      <c r="AJ40" s="250"/>
      <c r="AK40" s="250"/>
      <c r="AL40" s="250"/>
      <c r="AM40" s="250"/>
      <c r="AN40" s="250"/>
      <c r="AO40" s="250"/>
      <c r="AP40" s="250"/>
      <c r="AQ40" s="250"/>
      <c r="AR40" s="250"/>
      <c r="AS40" s="250"/>
      <c r="AT40" s="250"/>
      <c r="AU40" s="250"/>
      <c r="AV40" s="503"/>
      <c r="AW40" s="250"/>
      <c r="AX40" s="250"/>
      <c r="AY40" s="250"/>
      <c r="AZ40" s="250"/>
      <c r="BA40" s="250"/>
      <c r="BB40" s="253"/>
      <c r="BC40" s="250"/>
      <c r="BD40" s="250"/>
      <c r="BE40" s="250"/>
      <c r="BF40" s="250"/>
      <c r="BG40" s="250"/>
      <c r="BH40" s="575"/>
      <c r="BI40" s="250"/>
      <c r="BJ40" s="250"/>
      <c r="BK40" s="575"/>
      <c r="BL40" s="250"/>
      <c r="BM40" s="250"/>
      <c r="BN40" s="250"/>
      <c r="BO40" s="250"/>
      <c r="BP40" s="250"/>
      <c r="BQ40" s="250"/>
      <c r="BR40" s="250"/>
      <c r="BS40" s="250"/>
      <c r="BT40" s="250"/>
      <c r="BU40" s="250"/>
    </row>
    <row r="41" spans="1:73" s="215" customFormat="1" x14ac:dyDescent="0.2">
      <c r="B41" s="481"/>
      <c r="C41" s="565"/>
      <c r="D41" s="250"/>
      <c r="E41" s="250"/>
      <c r="F41" s="250"/>
      <c r="G41" s="250"/>
      <c r="H41" s="250"/>
      <c r="I41" s="250"/>
      <c r="J41" s="250"/>
      <c r="K41" s="250"/>
      <c r="L41" s="250"/>
      <c r="M41" s="503"/>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0"/>
      <c r="AO41" s="250"/>
      <c r="AP41" s="250"/>
      <c r="AQ41" s="250"/>
      <c r="AR41" s="250"/>
      <c r="AS41" s="250"/>
      <c r="AT41" s="250"/>
      <c r="AU41" s="250"/>
      <c r="AV41" s="503"/>
      <c r="AW41" s="250"/>
      <c r="AX41" s="250"/>
      <c r="AY41" s="250"/>
      <c r="AZ41" s="250"/>
      <c r="BA41" s="250"/>
      <c r="BB41" s="250"/>
      <c r="BC41" s="250"/>
      <c r="BD41" s="250"/>
      <c r="BE41" s="250"/>
      <c r="BF41" s="250"/>
      <c r="BG41" s="250"/>
      <c r="BH41" s="250"/>
      <c r="BI41" s="250"/>
      <c r="BJ41" s="250"/>
      <c r="BK41" s="250"/>
      <c r="BL41" s="250"/>
      <c r="BM41" s="250"/>
      <c r="BN41" s="250"/>
      <c r="BO41" s="250"/>
      <c r="BP41" s="250"/>
      <c r="BQ41" s="250"/>
      <c r="BR41" s="250"/>
      <c r="BS41" s="250"/>
      <c r="BT41" s="250"/>
      <c r="BU41" s="250"/>
    </row>
    <row r="42" spans="1:73" s="215" customFormat="1" x14ac:dyDescent="0.2">
      <c r="B42" s="481"/>
      <c r="C42" s="565"/>
      <c r="D42" s="250"/>
      <c r="E42" s="250"/>
      <c r="F42" s="250"/>
      <c r="G42" s="250"/>
      <c r="H42" s="250"/>
      <c r="I42" s="250"/>
      <c r="J42" s="250"/>
      <c r="K42" s="250"/>
      <c r="L42" s="250"/>
      <c r="M42" s="503"/>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483"/>
      <c r="AM42" s="250"/>
      <c r="AN42" s="250"/>
      <c r="AO42" s="250"/>
      <c r="AP42" s="250"/>
      <c r="AQ42" s="250"/>
      <c r="AR42" s="250"/>
      <c r="AS42" s="250"/>
      <c r="AT42" s="250"/>
      <c r="AU42" s="250"/>
      <c r="AV42" s="503"/>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483"/>
    </row>
    <row r="43" spans="1:73" s="215" customFormat="1" x14ac:dyDescent="0.2">
      <c r="B43" s="481"/>
      <c r="C43" s="565"/>
      <c r="D43" s="250"/>
      <c r="E43" s="250"/>
      <c r="F43" s="250"/>
      <c r="G43" s="250"/>
      <c r="H43" s="250"/>
      <c r="I43" s="250"/>
      <c r="J43" s="250"/>
      <c r="K43" s="250"/>
      <c r="L43" s="250"/>
      <c r="M43" s="503"/>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503"/>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row>
    <row r="44" spans="1:73" s="215" customFormat="1" x14ac:dyDescent="0.2">
      <c r="B44" s="481"/>
      <c r="C44" s="565"/>
      <c r="D44" s="250"/>
      <c r="E44" s="250"/>
      <c r="F44" s="250"/>
      <c r="G44" s="250"/>
      <c r="H44" s="250"/>
      <c r="I44" s="250"/>
      <c r="J44" s="250"/>
      <c r="K44" s="250"/>
      <c r="L44" s="250"/>
      <c r="M44" s="503"/>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483"/>
      <c r="AM44" s="250"/>
      <c r="AN44" s="250"/>
      <c r="AO44" s="250"/>
      <c r="AP44" s="250"/>
      <c r="AQ44" s="250"/>
      <c r="AR44" s="250"/>
      <c r="AS44" s="250"/>
      <c r="AT44" s="250"/>
      <c r="AU44" s="250"/>
      <c r="AV44" s="503"/>
      <c r="AW44" s="250"/>
      <c r="AX44" s="250"/>
      <c r="AY44" s="250"/>
      <c r="AZ44" s="250"/>
      <c r="BA44" s="250"/>
      <c r="BB44" s="250"/>
      <c r="BC44" s="250"/>
      <c r="BD44" s="250"/>
      <c r="BE44" s="250"/>
      <c r="BF44" s="250"/>
      <c r="BG44" s="250"/>
      <c r="BH44" s="250"/>
      <c r="BI44" s="250"/>
      <c r="BJ44" s="250"/>
      <c r="BK44" s="250"/>
      <c r="BL44" s="250"/>
      <c r="BM44" s="250"/>
      <c r="BN44" s="250"/>
      <c r="BO44" s="250"/>
      <c r="BP44" s="250"/>
      <c r="BQ44" s="250"/>
      <c r="BR44" s="250"/>
      <c r="BS44" s="250"/>
      <c r="BT44" s="250"/>
      <c r="BU44" s="483"/>
    </row>
    <row r="45" spans="1:73" s="215" customFormat="1" x14ac:dyDescent="0.2">
      <c r="B45" s="481"/>
      <c r="C45" s="565"/>
      <c r="D45" s="250"/>
      <c r="E45" s="250"/>
      <c r="F45" s="250"/>
      <c r="G45" s="250"/>
      <c r="H45" s="250"/>
      <c r="I45" s="250"/>
      <c r="J45" s="250"/>
      <c r="K45" s="250"/>
      <c r="L45" s="250"/>
      <c r="M45" s="503"/>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0"/>
      <c r="AV45" s="503"/>
      <c r="AW45" s="250"/>
      <c r="AX45" s="250"/>
      <c r="AY45" s="250"/>
      <c r="AZ45" s="250"/>
      <c r="BA45" s="250"/>
      <c r="BB45" s="250"/>
      <c r="BC45" s="250"/>
      <c r="BD45" s="250"/>
      <c r="BE45" s="250"/>
      <c r="BF45" s="250"/>
      <c r="BG45" s="250"/>
      <c r="BH45" s="250"/>
      <c r="BI45" s="250"/>
      <c r="BJ45" s="250"/>
      <c r="BK45" s="250"/>
      <c r="BL45" s="250"/>
      <c r="BM45" s="250"/>
      <c r="BN45" s="250"/>
      <c r="BO45" s="250"/>
      <c r="BP45" s="250"/>
      <c r="BQ45" s="250"/>
      <c r="BR45" s="250"/>
      <c r="BS45" s="250"/>
      <c r="BT45" s="250"/>
      <c r="BU45" s="250"/>
    </row>
    <row r="46" spans="1:73" s="215" customFormat="1" x14ac:dyDescent="0.2">
      <c r="B46" s="481"/>
      <c r="C46" s="565"/>
      <c r="D46" s="250"/>
      <c r="E46" s="250"/>
      <c r="F46" s="250"/>
      <c r="G46" s="250"/>
      <c r="H46" s="250"/>
      <c r="I46" s="250"/>
      <c r="J46" s="250"/>
      <c r="K46" s="250"/>
      <c r="L46" s="250"/>
      <c r="M46" s="503"/>
      <c r="N46" s="250"/>
      <c r="O46" s="250"/>
      <c r="P46" s="250"/>
      <c r="Q46" s="250"/>
      <c r="R46" s="250"/>
      <c r="S46" s="250"/>
      <c r="T46" s="250"/>
      <c r="U46" s="250"/>
      <c r="V46" s="250"/>
      <c r="W46" s="250"/>
      <c r="X46" s="250"/>
      <c r="Y46" s="250"/>
      <c r="Z46" s="250"/>
      <c r="AA46" s="250"/>
      <c r="AB46" s="250"/>
      <c r="AC46" s="250"/>
      <c r="AD46" s="250"/>
      <c r="AE46" s="250"/>
      <c r="AF46" s="250"/>
      <c r="AG46" s="250"/>
      <c r="AH46" s="250"/>
      <c r="AI46" s="250"/>
      <c r="AJ46" s="250"/>
      <c r="AK46" s="250"/>
      <c r="AL46" s="250"/>
      <c r="AM46" s="250"/>
      <c r="AN46" s="250"/>
      <c r="AO46" s="250"/>
      <c r="AP46" s="250"/>
      <c r="AQ46" s="250"/>
      <c r="AR46" s="250"/>
      <c r="AS46" s="250"/>
      <c r="AT46" s="250"/>
      <c r="AU46" s="250"/>
      <c r="AV46" s="503"/>
      <c r="AW46" s="250"/>
      <c r="AX46" s="250"/>
      <c r="AY46" s="250"/>
      <c r="AZ46" s="250"/>
      <c r="BA46" s="250"/>
      <c r="BB46" s="250"/>
      <c r="BC46" s="250"/>
      <c r="BD46" s="250"/>
      <c r="BE46" s="250"/>
      <c r="BF46" s="250"/>
      <c r="BG46" s="250"/>
      <c r="BH46" s="250"/>
      <c r="BI46" s="250"/>
      <c r="BJ46" s="250"/>
      <c r="BK46" s="250"/>
      <c r="BL46" s="250"/>
      <c r="BM46" s="250"/>
      <c r="BN46" s="250"/>
      <c r="BO46" s="250"/>
      <c r="BP46" s="250"/>
      <c r="BQ46" s="250"/>
      <c r="BR46" s="250"/>
      <c r="BS46" s="250"/>
      <c r="BT46" s="250"/>
      <c r="BU46" s="250"/>
    </row>
    <row r="47" spans="1:73" s="215" customFormat="1" x14ac:dyDescent="0.2">
      <c r="B47" s="481"/>
      <c r="C47" s="565"/>
      <c r="D47" s="250"/>
      <c r="E47" s="250"/>
      <c r="F47" s="250"/>
      <c r="G47" s="250"/>
      <c r="H47" s="250"/>
      <c r="I47" s="250"/>
      <c r="J47" s="250"/>
      <c r="K47" s="250"/>
      <c r="L47" s="250"/>
      <c r="M47" s="503"/>
      <c r="N47" s="250"/>
      <c r="O47" s="250"/>
      <c r="P47" s="250"/>
      <c r="Q47" s="250"/>
      <c r="R47" s="250"/>
      <c r="S47" s="250"/>
      <c r="T47" s="250"/>
      <c r="U47" s="250"/>
      <c r="V47" s="250"/>
      <c r="W47" s="250"/>
      <c r="X47" s="250"/>
      <c r="Y47" s="250"/>
      <c r="Z47" s="250"/>
      <c r="AA47" s="250"/>
      <c r="AB47" s="250"/>
      <c r="AC47" s="250"/>
      <c r="AD47" s="250"/>
      <c r="AE47" s="250"/>
      <c r="AF47" s="250"/>
      <c r="AG47" s="250"/>
      <c r="AH47" s="250"/>
      <c r="AI47" s="250"/>
      <c r="AJ47" s="250"/>
      <c r="AK47" s="250"/>
      <c r="AL47" s="250"/>
      <c r="AM47" s="250"/>
      <c r="AN47" s="250"/>
      <c r="AO47" s="250"/>
      <c r="AP47" s="250"/>
      <c r="AQ47" s="250"/>
      <c r="AR47" s="250"/>
      <c r="AS47" s="250"/>
      <c r="AT47" s="250"/>
      <c r="AU47" s="250"/>
      <c r="AV47" s="503"/>
      <c r="AW47" s="250"/>
      <c r="AX47" s="250"/>
      <c r="AY47" s="250"/>
      <c r="AZ47" s="250"/>
      <c r="BA47" s="250"/>
      <c r="BB47" s="250"/>
      <c r="BC47" s="250"/>
      <c r="BD47" s="250"/>
      <c r="BE47" s="250"/>
      <c r="BF47" s="250"/>
      <c r="BG47" s="250"/>
      <c r="BH47" s="250"/>
      <c r="BI47" s="250"/>
      <c r="BJ47" s="250"/>
      <c r="BK47" s="250"/>
      <c r="BL47" s="250"/>
      <c r="BM47" s="250"/>
      <c r="BN47" s="250"/>
      <c r="BO47" s="250"/>
      <c r="BP47" s="250"/>
      <c r="BQ47" s="250"/>
      <c r="BR47" s="250"/>
      <c r="BS47" s="250"/>
      <c r="BT47" s="250"/>
      <c r="BU47" s="250"/>
    </row>
  </sheetData>
  <mergeCells count="2">
    <mergeCell ref="BE39:BP39"/>
    <mergeCell ref="V39:AG39"/>
  </mergeCells>
  <printOptions horizontalCentered="1"/>
  <pageMargins left="0.25" right="0.25" top="0.25" bottom="0.25" header="0.3" footer="0.3"/>
  <pageSetup paperSize="5" orientation="landscape" cellComments="asDisplayed" verticalDpi="1200" r:id="rId1"/>
  <headerFooter>
    <oddFooter>&amp;RPage &amp;P of &amp;N</oddFooter>
  </headerFooter>
  <colBreaks count="3" manualBreakCount="3">
    <brk id="20" max="38" man="1"/>
    <brk id="38" max="38" man="1"/>
    <brk id="55" max="38"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BU36"/>
  <sheetViews>
    <sheetView view="pageBreakPreview" zoomScale="60" zoomScaleNormal="100" workbookViewId="0">
      <selection activeCell="AK53" sqref="AK53"/>
    </sheetView>
  </sheetViews>
  <sheetFormatPr defaultRowHeight="12.75" x14ac:dyDescent="0.2"/>
  <cols>
    <col min="1" max="1" width="6.42578125" style="480" customWidth="1"/>
    <col min="2" max="2" width="11.140625" style="481" customWidth="1"/>
    <col min="3" max="3" width="40.28515625" style="521" customWidth="1"/>
    <col min="4" max="4" width="13.140625" style="250" customWidth="1"/>
    <col min="5" max="6" width="0.85546875" style="250" customWidth="1"/>
    <col min="7" max="7" width="13.140625" style="250" customWidth="1"/>
    <col min="8" max="9" width="0.85546875" style="250" customWidth="1"/>
    <col min="10" max="10" width="13.140625" style="250" customWidth="1"/>
    <col min="11" max="12" width="0.85546875" style="250" customWidth="1"/>
    <col min="13" max="13" width="13.140625" style="250" customWidth="1"/>
    <col min="14" max="15" width="0.85546875" style="250" customWidth="1"/>
    <col min="16" max="16" width="13.140625" style="250" customWidth="1"/>
    <col min="17" max="18" width="0.85546875" style="250" customWidth="1"/>
    <col min="19" max="19" width="13.140625" style="503" customWidth="1"/>
    <col min="20" max="21" width="0.85546875" style="250" customWidth="1"/>
    <col min="22" max="22" width="13.140625" style="250" customWidth="1"/>
    <col min="23" max="24" width="0.85546875" style="250" customWidth="1"/>
    <col min="25" max="25" width="13.140625" style="250" customWidth="1"/>
    <col min="26" max="27" width="0.85546875" style="250" customWidth="1"/>
    <col min="28" max="28" width="13.140625" style="250" customWidth="1"/>
    <col min="29" max="30" width="0.85546875" style="250" customWidth="1"/>
    <col min="31" max="31" width="13.140625" style="250" customWidth="1"/>
    <col min="32" max="33" width="0.85546875" style="250" customWidth="1"/>
    <col min="34" max="34" width="13.140625" style="250" customWidth="1"/>
    <col min="35" max="36" width="0.85546875" style="250" customWidth="1"/>
    <col min="37" max="37" width="13.140625" style="250" customWidth="1"/>
    <col min="38" max="38" width="14.5703125" style="483" customWidth="1"/>
    <col min="39" max="39" width="13.140625" style="250" customWidth="1"/>
    <col min="40" max="41" width="0.85546875" style="250" customWidth="1"/>
    <col min="42" max="42" width="13.140625" style="250" customWidth="1"/>
    <col min="43" max="44" width="0.85546875" style="250" customWidth="1"/>
    <col min="45" max="45" width="13.140625" style="250" customWidth="1"/>
    <col min="46" max="47" width="0.85546875" style="250" customWidth="1"/>
    <col min="48" max="48" width="13.140625" style="250" customWidth="1"/>
    <col min="49" max="50" width="0.85546875" style="250" customWidth="1"/>
    <col min="51" max="51" width="13.140625" style="250" customWidth="1"/>
    <col min="52" max="53" width="0.85546875" style="250" customWidth="1"/>
    <col min="54" max="54" width="13.140625" style="503" customWidth="1"/>
    <col min="55" max="56" width="0.85546875" style="250" customWidth="1"/>
    <col min="57" max="57" width="13.140625" style="250" customWidth="1"/>
    <col min="58" max="59" width="0.85546875" style="250" customWidth="1"/>
    <col min="60" max="60" width="13.140625" style="250" customWidth="1"/>
    <col min="61" max="62" width="0.85546875" style="250" customWidth="1"/>
    <col min="63" max="63" width="13.140625" style="250" customWidth="1"/>
    <col min="64" max="65" width="0.85546875" style="250" customWidth="1"/>
    <col min="66" max="66" width="13.140625" style="250" customWidth="1"/>
    <col min="67" max="68" width="0.85546875" style="250" customWidth="1"/>
    <col min="69" max="69" width="13.140625" style="250" customWidth="1"/>
    <col min="70" max="71" width="0.85546875" style="250" customWidth="1"/>
    <col min="72" max="72" width="13.140625" style="250" customWidth="1"/>
    <col min="73" max="73" width="14.5703125" style="483" customWidth="1"/>
    <col min="74" max="16384" width="9.140625" style="3"/>
  </cols>
  <sheetData>
    <row r="1" spans="1:73" s="237" customFormat="1" x14ac:dyDescent="0.2">
      <c r="A1" s="467"/>
      <c r="B1" s="467"/>
      <c r="C1" s="468" t="s">
        <v>65</v>
      </c>
      <c r="D1" s="469" t="s">
        <v>66</v>
      </c>
      <c r="E1" s="470"/>
      <c r="F1" s="470"/>
      <c r="G1" s="471" t="s">
        <v>67</v>
      </c>
      <c r="H1" s="470"/>
      <c r="I1" s="470"/>
      <c r="J1" s="471" t="s">
        <v>68</v>
      </c>
      <c r="K1" s="470"/>
      <c r="L1" s="470"/>
      <c r="M1" s="471" t="s">
        <v>69</v>
      </c>
      <c r="N1" s="470"/>
      <c r="O1" s="470"/>
      <c r="P1" s="471" t="s">
        <v>70</v>
      </c>
      <c r="Q1" s="470"/>
      <c r="R1" s="470"/>
      <c r="S1" s="471" t="s">
        <v>71</v>
      </c>
      <c r="T1" s="470"/>
      <c r="U1" s="470"/>
      <c r="V1" s="471" t="s">
        <v>72</v>
      </c>
      <c r="W1" s="470"/>
      <c r="X1" s="470"/>
      <c r="Y1" s="471" t="s">
        <v>73</v>
      </c>
      <c r="Z1" s="470"/>
      <c r="AA1" s="470"/>
      <c r="AB1" s="471" t="s">
        <v>74</v>
      </c>
      <c r="AC1" s="470"/>
      <c r="AD1" s="470"/>
      <c r="AE1" s="471" t="s">
        <v>75</v>
      </c>
      <c r="AF1" s="470"/>
      <c r="AG1" s="470"/>
      <c r="AH1" s="471" t="s">
        <v>76</v>
      </c>
      <c r="AI1" s="470"/>
      <c r="AJ1" s="470"/>
      <c r="AK1" s="471" t="s">
        <v>77</v>
      </c>
      <c r="AL1" s="472" t="s">
        <v>78</v>
      </c>
      <c r="AM1" s="471" t="s">
        <v>79</v>
      </c>
      <c r="AN1" s="470"/>
      <c r="AO1" s="470"/>
      <c r="AP1" s="471" t="s">
        <v>80</v>
      </c>
      <c r="AQ1" s="470"/>
      <c r="AR1" s="470"/>
      <c r="AS1" s="471" t="s">
        <v>81</v>
      </c>
      <c r="AT1" s="470"/>
      <c r="AU1" s="470"/>
      <c r="AV1" s="471" t="s">
        <v>82</v>
      </c>
      <c r="AW1" s="470"/>
      <c r="AX1" s="470"/>
      <c r="AY1" s="471" t="s">
        <v>83</v>
      </c>
      <c r="AZ1" s="470"/>
      <c r="BA1" s="470"/>
      <c r="BB1" s="471" t="s">
        <v>84</v>
      </c>
      <c r="BC1" s="470"/>
      <c r="BD1" s="470"/>
      <c r="BE1" s="471" t="s">
        <v>85</v>
      </c>
      <c r="BF1" s="470"/>
      <c r="BG1" s="470"/>
      <c r="BH1" s="471" t="s">
        <v>86</v>
      </c>
      <c r="BI1" s="470"/>
      <c r="BJ1" s="470"/>
      <c r="BK1" s="471" t="s">
        <v>87</v>
      </c>
      <c r="BL1" s="470"/>
      <c r="BM1" s="470"/>
      <c r="BN1" s="471" t="s">
        <v>88</v>
      </c>
      <c r="BO1" s="470"/>
      <c r="BP1" s="470"/>
      <c r="BQ1" s="471" t="s">
        <v>89</v>
      </c>
      <c r="BR1" s="470"/>
      <c r="BS1" s="470"/>
      <c r="BT1" s="471" t="s">
        <v>90</v>
      </c>
      <c r="BU1" s="472" t="s">
        <v>91</v>
      </c>
    </row>
    <row r="2" spans="1:73" s="250" customFormat="1" ht="48.75" customHeight="1" x14ac:dyDescent="0.2">
      <c r="A2" s="467"/>
      <c r="B2" s="467"/>
      <c r="C2" s="473" t="s">
        <v>282</v>
      </c>
      <c r="D2" s="474"/>
      <c r="E2" s="470"/>
      <c r="F2" s="470"/>
      <c r="G2" s="475"/>
      <c r="H2" s="470"/>
      <c r="I2" s="470"/>
      <c r="J2" s="475"/>
      <c r="K2" s="470"/>
      <c r="L2" s="470"/>
      <c r="M2" s="475"/>
      <c r="N2" s="470"/>
      <c r="O2" s="470"/>
      <c r="P2" s="475"/>
      <c r="Q2" s="470"/>
      <c r="R2" s="470"/>
      <c r="S2" s="475"/>
      <c r="T2" s="470"/>
      <c r="U2" s="470"/>
      <c r="V2" s="475"/>
      <c r="W2" s="470"/>
      <c r="X2" s="470"/>
      <c r="Y2" s="475"/>
      <c r="Z2" s="476"/>
      <c r="AA2" s="476"/>
      <c r="AB2" s="477"/>
      <c r="AC2" s="476"/>
      <c r="AD2" s="476"/>
      <c r="AE2" s="478"/>
      <c r="AF2" s="476"/>
      <c r="AG2" s="476"/>
      <c r="AH2" s="474" t="s">
        <v>303</v>
      </c>
      <c r="AI2" s="476"/>
      <c r="AJ2" s="476"/>
      <c r="AK2" s="477"/>
      <c r="AL2" s="479"/>
      <c r="AM2" s="474"/>
      <c r="AN2" s="470"/>
      <c r="AO2" s="470"/>
      <c r="AP2" s="475"/>
      <c r="AQ2" s="470"/>
      <c r="AR2" s="470"/>
      <c r="AS2" s="475"/>
      <c r="AT2" s="470"/>
      <c r="AU2" s="470"/>
      <c r="AV2" s="475"/>
      <c r="AW2" s="470"/>
      <c r="AX2" s="470"/>
      <c r="AY2" s="475"/>
      <c r="AZ2" s="470"/>
      <c r="BA2" s="470"/>
      <c r="BB2" s="475"/>
      <c r="BC2" s="470"/>
      <c r="BD2" s="470"/>
      <c r="BE2" s="475"/>
      <c r="BF2" s="470"/>
      <c r="BG2" s="470"/>
      <c r="BH2" s="475"/>
      <c r="BI2" s="476"/>
      <c r="BJ2" s="476"/>
      <c r="BK2" s="477"/>
      <c r="BL2" s="476"/>
      <c r="BM2" s="476"/>
      <c r="BN2" s="478"/>
      <c r="BO2" s="476"/>
      <c r="BP2" s="476"/>
      <c r="BQ2" s="474" t="s">
        <v>304</v>
      </c>
      <c r="BR2" s="476"/>
      <c r="BS2" s="476"/>
      <c r="BT2" s="477"/>
      <c r="BU2" s="479"/>
    </row>
    <row r="3" spans="1:73" x14ac:dyDescent="0.2">
      <c r="A3" s="480" t="s">
        <v>92</v>
      </c>
      <c r="C3" s="482"/>
      <c r="D3" s="483">
        <v>0</v>
      </c>
      <c r="G3" s="483">
        <f>D33</f>
        <v>63391.31</v>
      </c>
      <c r="J3" s="483">
        <f>G33</f>
        <v>58795.99</v>
      </c>
      <c r="M3" s="483">
        <f>J33</f>
        <v>52179.29</v>
      </c>
      <c r="P3" s="483">
        <f>M33</f>
        <v>47583.97</v>
      </c>
      <c r="S3" s="484">
        <f>P33</f>
        <v>42988.65</v>
      </c>
      <c r="V3" s="483">
        <f>S33</f>
        <v>38393.33</v>
      </c>
      <c r="Y3" s="483">
        <f>V33</f>
        <v>33798.01</v>
      </c>
      <c r="AB3" s="483">
        <f>Y33</f>
        <v>29202.690000000002</v>
      </c>
      <c r="AE3" s="483">
        <f>AB33</f>
        <v>24607.370000000003</v>
      </c>
      <c r="AH3" s="483">
        <f>AE33</f>
        <v>20012.050000000003</v>
      </c>
      <c r="AK3" s="483">
        <f>AH33</f>
        <v>6438.1100000000042</v>
      </c>
      <c r="AL3" s="485"/>
      <c r="AM3" s="483">
        <v>0</v>
      </c>
      <c r="AP3" s="483">
        <f>AM33</f>
        <v>72105.89</v>
      </c>
      <c r="AS3" s="483">
        <f>AP33</f>
        <v>67368.990000000005</v>
      </c>
      <c r="AV3" s="483">
        <f>AS33</f>
        <v>62632.090000000004</v>
      </c>
      <c r="AY3" s="483">
        <f>AV33</f>
        <v>57895.19</v>
      </c>
      <c r="BB3" s="484">
        <f>AY33</f>
        <v>53158.29</v>
      </c>
      <c r="BE3" s="483">
        <f>BB33</f>
        <v>48421.39</v>
      </c>
      <c r="BH3" s="483">
        <f>BE33</f>
        <v>43684.49</v>
      </c>
      <c r="BK3" s="483">
        <f>BH33</f>
        <v>38947.589999999997</v>
      </c>
      <c r="BN3" s="483">
        <f>BK33</f>
        <v>34210.689999999995</v>
      </c>
      <c r="BQ3" s="483">
        <f>BN33</f>
        <v>29473.789999999994</v>
      </c>
      <c r="BT3" s="483">
        <f>BQ33</f>
        <v>12236.889999999992</v>
      </c>
      <c r="BU3" s="485"/>
    </row>
    <row r="4" spans="1:73" ht="6" customHeight="1" x14ac:dyDescent="0.2">
      <c r="C4" s="482"/>
      <c r="D4" s="483"/>
      <c r="G4" s="483"/>
      <c r="J4" s="483"/>
      <c r="M4" s="483"/>
      <c r="P4" s="483"/>
      <c r="S4" s="486"/>
      <c r="V4" s="483"/>
      <c r="Y4" s="483"/>
      <c r="AB4" s="483"/>
      <c r="AE4" s="483"/>
      <c r="AH4" s="483"/>
      <c r="AK4" s="483"/>
      <c r="AL4" s="485"/>
      <c r="AM4" s="483"/>
      <c r="AP4" s="483"/>
      <c r="AS4" s="483"/>
      <c r="AV4" s="483"/>
      <c r="AY4" s="483"/>
      <c r="BB4" s="486"/>
      <c r="BE4" s="483"/>
      <c r="BH4" s="483"/>
      <c r="BK4" s="483"/>
      <c r="BN4" s="483"/>
      <c r="BQ4" s="483"/>
      <c r="BT4" s="483"/>
      <c r="BU4" s="485"/>
    </row>
    <row r="5" spans="1:73" ht="15.75" x14ac:dyDescent="0.2">
      <c r="A5" s="487" t="s">
        <v>93</v>
      </c>
      <c r="B5" s="3"/>
      <c r="C5" s="488"/>
      <c r="D5" s="489"/>
      <c r="E5" s="490"/>
      <c r="F5" s="490"/>
      <c r="G5" s="491"/>
      <c r="H5" s="490"/>
      <c r="I5" s="490"/>
      <c r="J5" s="491"/>
      <c r="K5" s="490"/>
      <c r="L5" s="490"/>
      <c r="M5" s="491"/>
      <c r="N5" s="490"/>
      <c r="O5" s="490"/>
      <c r="P5" s="491"/>
      <c r="Q5" s="490"/>
      <c r="R5" s="490"/>
      <c r="S5" s="492"/>
      <c r="T5" s="493"/>
      <c r="U5" s="493"/>
      <c r="V5" s="491"/>
      <c r="W5" s="490"/>
      <c r="X5" s="490"/>
      <c r="Y5" s="491"/>
      <c r="AB5" s="483"/>
      <c r="AE5" s="489"/>
      <c r="AH5" s="483"/>
      <c r="AK5" s="483"/>
      <c r="AL5" s="485"/>
      <c r="AM5" s="489"/>
      <c r="AN5" s="490"/>
      <c r="AO5" s="490"/>
      <c r="AP5" s="491"/>
      <c r="AQ5" s="490"/>
      <c r="AR5" s="490"/>
      <c r="AS5" s="491"/>
      <c r="AT5" s="490"/>
      <c r="AU5" s="490"/>
      <c r="AV5" s="491"/>
      <c r="AW5" s="490"/>
      <c r="AX5" s="490"/>
      <c r="AY5" s="491"/>
      <c r="AZ5" s="490"/>
      <c r="BA5" s="490"/>
      <c r="BB5" s="492"/>
      <c r="BC5" s="493"/>
      <c r="BD5" s="493"/>
      <c r="BE5" s="491"/>
      <c r="BF5" s="490"/>
      <c r="BG5" s="490"/>
      <c r="BH5" s="491"/>
      <c r="BK5" s="483"/>
      <c r="BN5" s="489"/>
      <c r="BQ5" s="483"/>
      <c r="BT5" s="483"/>
      <c r="BU5" s="485"/>
    </row>
    <row r="6" spans="1:73" ht="15.75" x14ac:dyDescent="0.2">
      <c r="A6" s="494"/>
      <c r="B6" s="487"/>
      <c r="C6" s="495" t="s">
        <v>294</v>
      </c>
      <c r="D6" s="489"/>
      <c r="E6" s="490"/>
      <c r="F6" s="490"/>
      <c r="G6" s="491"/>
      <c r="H6" s="490"/>
      <c r="I6" s="490"/>
      <c r="J6" s="491"/>
      <c r="K6" s="490"/>
      <c r="L6" s="490"/>
      <c r="M6" s="491"/>
      <c r="N6" s="490"/>
      <c r="O6" s="490"/>
      <c r="P6" s="491"/>
      <c r="Q6" s="490"/>
      <c r="R6" s="490"/>
      <c r="S6" s="492"/>
      <c r="T6" s="493"/>
      <c r="U6" s="493"/>
      <c r="V6" s="491"/>
      <c r="W6" s="490"/>
      <c r="X6" s="490"/>
      <c r="Y6" s="491"/>
      <c r="AB6" s="483"/>
      <c r="AE6" s="489"/>
      <c r="AH6" s="483"/>
      <c r="AK6" s="483">
        <v>75000</v>
      </c>
      <c r="AL6" s="485"/>
      <c r="AM6" s="489"/>
      <c r="AN6" s="490"/>
      <c r="AO6" s="490"/>
      <c r="AP6" s="491"/>
      <c r="AQ6" s="490"/>
      <c r="AR6" s="490"/>
      <c r="AS6" s="491"/>
      <c r="AT6" s="490"/>
      <c r="AU6" s="490"/>
      <c r="AV6" s="491"/>
      <c r="AW6" s="490"/>
      <c r="AX6" s="490"/>
      <c r="AY6" s="491"/>
      <c r="AZ6" s="490"/>
      <c r="BA6" s="490"/>
      <c r="BB6" s="492"/>
      <c r="BC6" s="493"/>
      <c r="BD6" s="493"/>
      <c r="BE6" s="491"/>
      <c r="BF6" s="490"/>
      <c r="BG6" s="490"/>
      <c r="BH6" s="491"/>
      <c r="BK6" s="483"/>
      <c r="BN6" s="489"/>
      <c r="BQ6" s="483"/>
      <c r="BT6" s="483"/>
      <c r="BU6" s="485"/>
    </row>
    <row r="7" spans="1:73" s="237" customFormat="1" ht="15" x14ac:dyDescent="0.2">
      <c r="A7" s="496"/>
      <c r="B7" s="497"/>
      <c r="C7" s="237" t="s">
        <v>274</v>
      </c>
      <c r="D7" s="238">
        <f>75000-2500</f>
        <v>72500</v>
      </c>
      <c r="F7" s="498"/>
      <c r="G7" s="238"/>
      <c r="I7" s="498"/>
      <c r="J7" s="238"/>
      <c r="L7" s="498"/>
      <c r="M7" s="238"/>
      <c r="O7" s="498"/>
      <c r="P7" s="238"/>
      <c r="R7" s="498"/>
      <c r="S7" s="499"/>
      <c r="U7" s="498"/>
      <c r="V7" s="238"/>
      <c r="X7" s="498"/>
      <c r="Y7" s="238"/>
      <c r="AA7" s="498"/>
      <c r="AB7" s="238"/>
      <c r="AD7" s="498"/>
      <c r="AE7" s="498"/>
      <c r="AG7" s="498"/>
      <c r="AH7" s="238"/>
      <c r="AJ7" s="498"/>
      <c r="AK7" s="500">
        <v>-76842.789999999994</v>
      </c>
      <c r="AL7" s="501">
        <f>SUM(D6:AK7)</f>
        <v>70657.210000000006</v>
      </c>
      <c r="AM7" s="238">
        <f>-AK7</f>
        <v>76842.789999999994</v>
      </c>
      <c r="AO7" s="498"/>
      <c r="AP7" s="238"/>
      <c r="AR7" s="498"/>
      <c r="AS7" s="238"/>
      <c r="AU7" s="498"/>
      <c r="AV7" s="238"/>
      <c r="AX7" s="498"/>
      <c r="AY7" s="238"/>
      <c r="BA7" s="498"/>
      <c r="BB7" s="499"/>
      <c r="BD7" s="498"/>
      <c r="BE7" s="238"/>
      <c r="BG7" s="498"/>
      <c r="BH7" s="238"/>
      <c r="BJ7" s="498"/>
      <c r="BK7" s="238"/>
      <c r="BM7" s="498"/>
      <c r="BN7" s="498"/>
      <c r="BP7" s="498"/>
      <c r="BQ7" s="238"/>
      <c r="BS7" s="498"/>
      <c r="BT7" s="500">
        <v>-12236.89</v>
      </c>
      <c r="BU7" s="501">
        <f>SUM(AM6:BT7)</f>
        <v>64605.899999999994</v>
      </c>
    </row>
    <row r="8" spans="1:73" ht="6" customHeight="1" x14ac:dyDescent="0.2">
      <c r="C8" s="482"/>
      <c r="D8" s="483"/>
      <c r="G8" s="483"/>
      <c r="J8" s="483"/>
      <c r="M8" s="483"/>
      <c r="P8" s="483"/>
      <c r="S8" s="486"/>
      <c r="V8" s="483"/>
      <c r="Y8" s="483"/>
      <c r="AB8" s="483"/>
      <c r="AE8" s="483"/>
      <c r="AH8" s="483"/>
      <c r="AK8" s="483"/>
      <c r="AL8" s="485"/>
      <c r="AM8" s="483"/>
      <c r="AP8" s="483"/>
      <c r="AS8" s="483"/>
      <c r="AV8" s="483"/>
      <c r="AY8" s="483"/>
      <c r="BB8" s="486"/>
      <c r="BE8" s="483"/>
      <c r="BH8" s="483"/>
      <c r="BK8" s="483"/>
      <c r="BN8" s="483"/>
      <c r="BQ8" s="483"/>
      <c r="BT8" s="483"/>
      <c r="BU8" s="485"/>
    </row>
    <row r="9" spans="1:73" ht="15.75" x14ac:dyDescent="0.2">
      <c r="A9" s="487" t="s">
        <v>94</v>
      </c>
      <c r="B9" s="3"/>
      <c r="C9" s="502"/>
      <c r="F9" s="483"/>
      <c r="I9" s="483"/>
      <c r="L9" s="483"/>
      <c r="O9" s="483"/>
      <c r="R9" s="483"/>
      <c r="U9" s="483"/>
      <c r="X9" s="483"/>
      <c r="AA9" s="483"/>
      <c r="AD9" s="483"/>
      <c r="AG9" s="483"/>
      <c r="AJ9" s="483"/>
      <c r="AL9" s="504"/>
      <c r="AO9" s="483"/>
      <c r="AR9" s="483"/>
      <c r="AU9" s="483"/>
      <c r="AX9" s="483"/>
      <c r="BA9" s="483"/>
      <c r="BD9" s="483"/>
      <c r="BG9" s="483"/>
      <c r="BJ9" s="483"/>
      <c r="BM9" s="483"/>
      <c r="BP9" s="483"/>
      <c r="BS9" s="483"/>
      <c r="BU9" s="504"/>
    </row>
    <row r="10" spans="1:73" ht="15.75" x14ac:dyDescent="0.2">
      <c r="A10" s="480" t="s">
        <v>95</v>
      </c>
      <c r="B10" s="3"/>
      <c r="C10" s="502"/>
      <c r="D10" s="483"/>
      <c r="F10" s="483"/>
      <c r="I10" s="483"/>
      <c r="L10" s="483"/>
      <c r="O10" s="483"/>
      <c r="R10" s="483"/>
      <c r="U10" s="483"/>
      <c r="X10" s="483"/>
      <c r="AA10" s="483"/>
      <c r="AD10" s="483"/>
      <c r="AG10" s="483"/>
      <c r="AJ10" s="483"/>
      <c r="AL10" s="504"/>
      <c r="AM10" s="483"/>
      <c r="AO10" s="483"/>
      <c r="AR10" s="483"/>
      <c r="AU10" s="483"/>
      <c r="AX10" s="483"/>
      <c r="BA10" s="483"/>
      <c r="BD10" s="483"/>
      <c r="BG10" s="483"/>
      <c r="BJ10" s="483"/>
      <c r="BM10" s="483"/>
      <c r="BP10" s="483"/>
      <c r="BS10" s="483"/>
      <c r="BU10" s="504"/>
    </row>
    <row r="11" spans="1:73" s="250" customFormat="1" x14ac:dyDescent="0.2">
      <c r="A11" s="505"/>
      <c r="B11" s="250" t="s">
        <v>96</v>
      </c>
      <c r="C11" s="506"/>
      <c r="S11" s="503"/>
      <c r="AL11" s="504"/>
      <c r="BB11" s="503"/>
      <c r="BU11" s="504"/>
    </row>
    <row r="12" spans="1:73" s="513" customFormat="1" ht="23.25" customHeight="1" x14ac:dyDescent="0.2">
      <c r="A12" s="507">
        <v>60011</v>
      </c>
      <c r="B12" s="508">
        <v>199700</v>
      </c>
      <c r="C12" s="509" t="s">
        <v>262</v>
      </c>
      <c r="D12" s="510">
        <f>'Chair FY11'!F13</f>
        <v>2383.2600000000002</v>
      </c>
      <c r="E12" s="510"/>
      <c r="F12" s="510"/>
      <c r="G12" s="510">
        <f>'Chair FY11'!J13</f>
        <v>1191.6300000000001</v>
      </c>
      <c r="H12" s="510"/>
      <c r="I12" s="510"/>
      <c r="J12" s="510">
        <f>'Chair FY11'!N13</f>
        <v>1191.6300000000001</v>
      </c>
      <c r="K12" s="510"/>
      <c r="L12" s="510"/>
      <c r="M12" s="511">
        <f>'Chair FY11'!S13</f>
        <v>1191.6300000000001</v>
      </c>
      <c r="N12" s="510"/>
      <c r="O12" s="510"/>
      <c r="P12" s="510">
        <f>'Chair FY11'!W13</f>
        <v>1191.6300000000001</v>
      </c>
      <c r="Q12" s="510"/>
      <c r="R12" s="510"/>
      <c r="S12" s="510">
        <f>'Chair FY11'!AA13</f>
        <v>1191.6300000000001</v>
      </c>
      <c r="T12" s="510"/>
      <c r="U12" s="510"/>
      <c r="V12" s="510">
        <f>'Chair FY11'!AF13</f>
        <v>1191.6300000000001</v>
      </c>
      <c r="W12" s="510"/>
      <c r="X12" s="510"/>
      <c r="Y12" s="510">
        <f>'Chair FY11'!AJ13</f>
        <v>1191.6300000000001</v>
      </c>
      <c r="Z12" s="510"/>
      <c r="AA12" s="510"/>
      <c r="AB12" s="510">
        <f>'Chair FY11'!AN13</f>
        <v>1191.6300000000001</v>
      </c>
      <c r="AC12" s="510"/>
      <c r="AD12" s="510"/>
      <c r="AE12" s="510">
        <f>'Chair FY11'!AS13</f>
        <v>1191.6300000000001</v>
      </c>
      <c r="AF12" s="510"/>
      <c r="AG12" s="510"/>
      <c r="AH12" s="510">
        <f>'Chair FY11'!AW13</f>
        <v>1191.6300000000001</v>
      </c>
      <c r="AI12" s="510"/>
      <c r="AJ12" s="510"/>
      <c r="AK12" s="510">
        <f>'Chair FY11'!BA13</f>
        <v>1191.6300000000001</v>
      </c>
      <c r="AL12" s="512">
        <f>SUM(D12:AK12)</f>
        <v>15491.190000000006</v>
      </c>
      <c r="AM12" s="510">
        <f>ROUND(AH12*1.03,2)</f>
        <v>1227.3800000000001</v>
      </c>
      <c r="AN12" s="510"/>
      <c r="AO12" s="510"/>
      <c r="AP12" s="510">
        <f>AM12</f>
        <v>1227.3800000000001</v>
      </c>
      <c r="AQ12" s="510"/>
      <c r="AR12" s="510"/>
      <c r="AS12" s="510">
        <f t="shared" ref="AS12:AS14" si="0">AP12</f>
        <v>1227.3800000000001</v>
      </c>
      <c r="AT12" s="510"/>
      <c r="AU12" s="510"/>
      <c r="AV12" s="510">
        <f t="shared" ref="AV12:AV14" si="1">AS12</f>
        <v>1227.3800000000001</v>
      </c>
      <c r="AW12" s="510"/>
      <c r="AX12" s="510"/>
      <c r="AY12" s="510">
        <f t="shared" ref="AY12:AY14" si="2">AV12</f>
        <v>1227.3800000000001</v>
      </c>
      <c r="AZ12" s="510"/>
      <c r="BA12" s="510"/>
      <c r="BB12" s="510">
        <f t="shared" ref="BB12:BB14" si="3">AY12</f>
        <v>1227.3800000000001</v>
      </c>
      <c r="BC12" s="510"/>
      <c r="BD12" s="510"/>
      <c r="BE12" s="510">
        <f t="shared" ref="BE12:BE14" si="4">BB12</f>
        <v>1227.3800000000001</v>
      </c>
      <c r="BF12" s="510"/>
      <c r="BG12" s="510"/>
      <c r="BH12" s="510">
        <f t="shared" ref="BH12:BH14" si="5">BE12</f>
        <v>1227.3800000000001</v>
      </c>
      <c r="BI12" s="510"/>
      <c r="BJ12" s="510"/>
      <c r="BK12" s="510">
        <f t="shared" ref="BK12:BK14" si="6">BH12</f>
        <v>1227.3800000000001</v>
      </c>
      <c r="BL12" s="510"/>
      <c r="BM12" s="510"/>
      <c r="BN12" s="510">
        <f t="shared" ref="BN12:BN14" si="7">BK12</f>
        <v>1227.3800000000001</v>
      </c>
      <c r="BO12" s="510"/>
      <c r="BP12" s="510"/>
      <c r="BQ12" s="510">
        <f t="shared" ref="BQ12:BQ14" si="8">BN12</f>
        <v>1227.3800000000001</v>
      </c>
      <c r="BR12" s="510"/>
      <c r="BS12" s="510"/>
      <c r="BT12" s="510">
        <v>0</v>
      </c>
      <c r="BU12" s="512">
        <f>SUM(AM12:BT12)</f>
        <v>13501.180000000004</v>
      </c>
    </row>
    <row r="13" spans="1:73" s="519" customFormat="1" ht="13.5" customHeight="1" x14ac:dyDescent="0.2">
      <c r="A13" s="514" t="s">
        <v>155</v>
      </c>
      <c r="B13" s="515">
        <f>'Staff Salary Dist'!B4</f>
        <v>81558.080000000002</v>
      </c>
      <c r="C13" s="516" t="str">
        <f>'Staff Salary Dist'!A4</f>
        <v>Paul Programmer</v>
      </c>
      <c r="D13" s="517">
        <f>'Staff Salary Dist'!E7</f>
        <v>2038.95</v>
      </c>
      <c r="E13" s="517"/>
      <c r="F13" s="517"/>
      <c r="G13" s="517">
        <f>'Staff Salary Dist'!H7</f>
        <v>2038.95</v>
      </c>
      <c r="H13" s="517"/>
      <c r="I13" s="517"/>
      <c r="J13" s="517">
        <f>'Staff Salary Dist'!K7</f>
        <v>2038.95</v>
      </c>
      <c r="K13" s="517"/>
      <c r="L13" s="517"/>
      <c r="M13" s="517">
        <f>'Staff Salary Dist'!N7</f>
        <v>2038.95</v>
      </c>
      <c r="N13" s="517"/>
      <c r="O13" s="517"/>
      <c r="P13" s="517">
        <f>'Staff Salary Dist'!Q7</f>
        <v>2038.95</v>
      </c>
      <c r="Q13" s="517"/>
      <c r="R13" s="517"/>
      <c r="S13" s="517">
        <f>'Staff Salary Dist'!T7</f>
        <v>2038.95</v>
      </c>
      <c r="T13" s="517"/>
      <c r="U13" s="517"/>
      <c r="V13" s="517">
        <f>'Staff Salary Dist'!W7</f>
        <v>2038.95</v>
      </c>
      <c r="W13" s="517"/>
      <c r="X13" s="517"/>
      <c r="Y13" s="517">
        <f>'Staff Salary Dist'!Z7</f>
        <v>2038.95</v>
      </c>
      <c r="Z13" s="517"/>
      <c r="AA13" s="517"/>
      <c r="AB13" s="517">
        <f>'Staff Salary Dist'!AC7</f>
        <v>2038.95</v>
      </c>
      <c r="AC13" s="517"/>
      <c r="AD13" s="517"/>
      <c r="AE13" s="517">
        <f>'Staff Salary Dist'!AF7</f>
        <v>2038.95</v>
      </c>
      <c r="AF13" s="517"/>
      <c r="AG13" s="517"/>
      <c r="AH13" s="517">
        <f>'Staff Salary Dist'!AI7</f>
        <v>2038.95</v>
      </c>
      <c r="AI13" s="517"/>
      <c r="AJ13" s="517"/>
      <c r="AK13" s="517">
        <f>'Staff Salary Dist'!AL7</f>
        <v>2038.95</v>
      </c>
      <c r="AL13" s="518">
        <f t="shared" ref="AL13:AL14" si="9">SUM(D13:AK13)</f>
        <v>24467.400000000005</v>
      </c>
      <c r="AM13" s="517">
        <f t="shared" ref="AM13:AM14" si="10">ROUND(AH13*1.03,2)</f>
        <v>2100.12</v>
      </c>
      <c r="AN13" s="517"/>
      <c r="AO13" s="517"/>
      <c r="AP13" s="517">
        <f t="shared" ref="AP13:AP14" si="11">AM13</f>
        <v>2100.12</v>
      </c>
      <c r="AQ13" s="517"/>
      <c r="AR13" s="517"/>
      <c r="AS13" s="517">
        <f t="shared" si="0"/>
        <v>2100.12</v>
      </c>
      <c r="AT13" s="517"/>
      <c r="AU13" s="517"/>
      <c r="AV13" s="517">
        <f t="shared" si="1"/>
        <v>2100.12</v>
      </c>
      <c r="AW13" s="517"/>
      <c r="AX13" s="517"/>
      <c r="AY13" s="517">
        <f t="shared" si="2"/>
        <v>2100.12</v>
      </c>
      <c r="AZ13" s="517"/>
      <c r="BA13" s="517"/>
      <c r="BB13" s="517">
        <f t="shared" si="3"/>
        <v>2100.12</v>
      </c>
      <c r="BC13" s="517"/>
      <c r="BD13" s="517"/>
      <c r="BE13" s="517">
        <f t="shared" si="4"/>
        <v>2100.12</v>
      </c>
      <c r="BF13" s="517"/>
      <c r="BG13" s="517"/>
      <c r="BH13" s="517">
        <f t="shared" si="5"/>
        <v>2100.12</v>
      </c>
      <c r="BI13" s="517"/>
      <c r="BJ13" s="517"/>
      <c r="BK13" s="517">
        <f t="shared" si="6"/>
        <v>2100.12</v>
      </c>
      <c r="BL13" s="517"/>
      <c r="BM13" s="517"/>
      <c r="BN13" s="517">
        <f t="shared" si="7"/>
        <v>2100.12</v>
      </c>
      <c r="BO13" s="517"/>
      <c r="BP13" s="517"/>
      <c r="BQ13" s="517">
        <f t="shared" si="8"/>
        <v>2100.12</v>
      </c>
      <c r="BR13" s="517"/>
      <c r="BS13" s="517"/>
      <c r="BT13" s="517">
        <v>0</v>
      </c>
      <c r="BU13" s="518">
        <f t="shared" ref="BU13:BU14" si="12">SUM(AM13:BT13)</f>
        <v>23101.319999999992</v>
      </c>
    </row>
    <row r="14" spans="1:73" s="519" customFormat="1" ht="13.5" customHeight="1" x14ac:dyDescent="0.2">
      <c r="A14" s="514" t="s">
        <v>155</v>
      </c>
      <c r="B14" s="515">
        <f>'Staff Salary Dist'!B12</f>
        <v>46533.42</v>
      </c>
      <c r="C14" s="516" t="str">
        <f>'Staff Salary Dist'!A12</f>
        <v>Connie Coordinator</v>
      </c>
      <c r="D14" s="517">
        <f>'Staff Salary Dist'!E15</f>
        <v>387.78</v>
      </c>
      <c r="E14" s="517"/>
      <c r="F14" s="517"/>
      <c r="G14" s="517">
        <f>'Staff Salary Dist'!H15</f>
        <v>387.78</v>
      </c>
      <c r="H14" s="517"/>
      <c r="I14" s="517"/>
      <c r="J14" s="517">
        <f>'Staff Salary Dist'!K15</f>
        <v>387.78</v>
      </c>
      <c r="K14" s="517"/>
      <c r="L14" s="517"/>
      <c r="M14" s="517">
        <f>'Staff Salary Dist'!N15</f>
        <v>387.78</v>
      </c>
      <c r="N14" s="517"/>
      <c r="O14" s="517"/>
      <c r="P14" s="517">
        <f>'Staff Salary Dist'!Q15</f>
        <v>387.78</v>
      </c>
      <c r="Q14" s="517"/>
      <c r="R14" s="517"/>
      <c r="S14" s="517">
        <f>'Staff Salary Dist'!T15</f>
        <v>387.78</v>
      </c>
      <c r="T14" s="517"/>
      <c r="U14" s="517"/>
      <c r="V14" s="517">
        <f>'Staff Salary Dist'!W15</f>
        <v>387.78</v>
      </c>
      <c r="W14" s="517"/>
      <c r="X14" s="517"/>
      <c r="Y14" s="517">
        <f>'Staff Salary Dist'!Z15</f>
        <v>387.78</v>
      </c>
      <c r="Z14" s="517"/>
      <c r="AA14" s="517"/>
      <c r="AB14" s="517">
        <f>'Staff Salary Dist'!AC15</f>
        <v>387.78</v>
      </c>
      <c r="AC14" s="517"/>
      <c r="AD14" s="517"/>
      <c r="AE14" s="517">
        <f>'Staff Salary Dist'!AF15</f>
        <v>387.78</v>
      </c>
      <c r="AF14" s="517"/>
      <c r="AG14" s="517"/>
      <c r="AH14" s="517">
        <f>'Staff Salary Dist'!AI15</f>
        <v>387.78</v>
      </c>
      <c r="AI14" s="517"/>
      <c r="AJ14" s="517"/>
      <c r="AK14" s="517">
        <f>'Staff Salary Dist'!AL15</f>
        <v>387.78</v>
      </c>
      <c r="AL14" s="518">
        <f t="shared" si="9"/>
        <v>4653.3599999999988</v>
      </c>
      <c r="AM14" s="517">
        <f t="shared" si="10"/>
        <v>399.41</v>
      </c>
      <c r="AN14" s="517"/>
      <c r="AO14" s="517"/>
      <c r="AP14" s="517">
        <f t="shared" si="11"/>
        <v>399.41</v>
      </c>
      <c r="AQ14" s="517"/>
      <c r="AR14" s="517"/>
      <c r="AS14" s="517">
        <f t="shared" si="0"/>
        <v>399.41</v>
      </c>
      <c r="AT14" s="517"/>
      <c r="AU14" s="517"/>
      <c r="AV14" s="517">
        <f t="shared" si="1"/>
        <v>399.41</v>
      </c>
      <c r="AW14" s="517"/>
      <c r="AX14" s="517"/>
      <c r="AY14" s="517">
        <f t="shared" si="2"/>
        <v>399.41</v>
      </c>
      <c r="AZ14" s="517"/>
      <c r="BA14" s="517"/>
      <c r="BB14" s="517">
        <f t="shared" si="3"/>
        <v>399.41</v>
      </c>
      <c r="BC14" s="517"/>
      <c r="BD14" s="517"/>
      <c r="BE14" s="517">
        <f t="shared" si="4"/>
        <v>399.41</v>
      </c>
      <c r="BF14" s="517"/>
      <c r="BG14" s="517"/>
      <c r="BH14" s="517">
        <f t="shared" si="5"/>
        <v>399.41</v>
      </c>
      <c r="BI14" s="517"/>
      <c r="BJ14" s="517"/>
      <c r="BK14" s="517">
        <f t="shared" si="6"/>
        <v>399.41</v>
      </c>
      <c r="BL14" s="517"/>
      <c r="BM14" s="517"/>
      <c r="BN14" s="517">
        <f t="shared" si="7"/>
        <v>399.41</v>
      </c>
      <c r="BO14" s="517"/>
      <c r="BP14" s="517"/>
      <c r="BQ14" s="517">
        <f t="shared" si="8"/>
        <v>399.41</v>
      </c>
      <c r="BR14" s="517"/>
      <c r="BS14" s="517"/>
      <c r="BT14" s="517">
        <v>0</v>
      </c>
      <c r="BU14" s="518">
        <f t="shared" si="12"/>
        <v>4393.5099999999993</v>
      </c>
    </row>
    <row r="15" spans="1:73" x14ac:dyDescent="0.2">
      <c r="B15" s="520"/>
      <c r="AL15" s="504"/>
      <c r="BU15" s="504"/>
    </row>
    <row r="16" spans="1:73" ht="6" customHeight="1" x14ac:dyDescent="0.2">
      <c r="B16" s="520"/>
      <c r="C16" s="482"/>
      <c r="D16" s="483"/>
      <c r="G16" s="483"/>
      <c r="J16" s="483"/>
      <c r="M16" s="483"/>
      <c r="P16" s="483"/>
      <c r="S16" s="486"/>
      <c r="V16" s="483"/>
      <c r="Y16" s="483"/>
      <c r="AB16" s="483"/>
      <c r="AE16" s="483"/>
      <c r="AH16" s="483"/>
      <c r="AK16" s="483"/>
      <c r="AL16" s="485"/>
      <c r="AM16" s="483"/>
      <c r="AP16" s="483"/>
      <c r="AS16" s="483"/>
      <c r="AV16" s="483"/>
      <c r="AY16" s="483"/>
      <c r="BB16" s="486"/>
      <c r="BE16" s="483"/>
      <c r="BH16" s="483"/>
      <c r="BK16" s="483"/>
      <c r="BN16" s="483"/>
      <c r="BQ16" s="483"/>
      <c r="BT16" s="483"/>
      <c r="BU16" s="485"/>
    </row>
    <row r="17" spans="1:73" s="513" customFormat="1" x14ac:dyDescent="0.2">
      <c r="A17" s="522"/>
      <c r="B17" s="520"/>
      <c r="C17" s="523" t="s">
        <v>97</v>
      </c>
      <c r="D17" s="510">
        <f>SUM(D12:D12)</f>
        <v>2383.2600000000002</v>
      </c>
      <c r="E17" s="510"/>
      <c r="F17" s="510"/>
      <c r="G17" s="510">
        <f>SUM(G12:G12)</f>
        <v>1191.6300000000001</v>
      </c>
      <c r="H17" s="510"/>
      <c r="I17" s="510"/>
      <c r="J17" s="510">
        <f>SUM(J12:J12)</f>
        <v>1191.6300000000001</v>
      </c>
      <c r="K17" s="510"/>
      <c r="L17" s="510"/>
      <c r="M17" s="510">
        <f>SUM(M12:M12)</f>
        <v>1191.6300000000001</v>
      </c>
      <c r="N17" s="510"/>
      <c r="O17" s="510"/>
      <c r="P17" s="510">
        <f>SUM(P12:P12)</f>
        <v>1191.6300000000001</v>
      </c>
      <c r="Q17" s="510"/>
      <c r="R17" s="510"/>
      <c r="S17" s="510">
        <f>SUM(S12:S12)</f>
        <v>1191.6300000000001</v>
      </c>
      <c r="T17" s="510"/>
      <c r="U17" s="510"/>
      <c r="V17" s="510">
        <f>SUM(V12:V12)</f>
        <v>1191.6300000000001</v>
      </c>
      <c r="W17" s="510"/>
      <c r="X17" s="510"/>
      <c r="Y17" s="510">
        <f>SUM(Y12:Y12)</f>
        <v>1191.6300000000001</v>
      </c>
      <c r="Z17" s="510"/>
      <c r="AA17" s="510"/>
      <c r="AB17" s="510">
        <f>SUM(AB12:AB12)</f>
        <v>1191.6300000000001</v>
      </c>
      <c r="AC17" s="510"/>
      <c r="AD17" s="510"/>
      <c r="AE17" s="510">
        <f>SUM(AE12:AE12)</f>
        <v>1191.6300000000001</v>
      </c>
      <c r="AF17" s="510"/>
      <c r="AG17" s="510"/>
      <c r="AH17" s="510">
        <f>SUM(AH12:AH12)</f>
        <v>1191.6300000000001</v>
      </c>
      <c r="AI17" s="510"/>
      <c r="AJ17" s="510"/>
      <c r="AK17" s="510">
        <f>SUM(AK12:AK12)</f>
        <v>1191.6300000000001</v>
      </c>
      <c r="AL17" s="524">
        <f>SUM(D17:AK17)</f>
        <v>15491.190000000006</v>
      </c>
      <c r="AM17" s="510">
        <f>SUM(AM12:AM12)</f>
        <v>1227.3800000000001</v>
      </c>
      <c r="AN17" s="510"/>
      <c r="AO17" s="510"/>
      <c r="AP17" s="510">
        <f>SUM(AP12:AP12)</f>
        <v>1227.3800000000001</v>
      </c>
      <c r="AQ17" s="510"/>
      <c r="AR17" s="510"/>
      <c r="AS17" s="510">
        <f>SUM(AS12:AS12)</f>
        <v>1227.3800000000001</v>
      </c>
      <c r="AT17" s="510"/>
      <c r="AU17" s="510"/>
      <c r="AV17" s="510">
        <f>SUM(AV12:AV12)</f>
        <v>1227.3800000000001</v>
      </c>
      <c r="AW17" s="510"/>
      <c r="AX17" s="510"/>
      <c r="AY17" s="510">
        <f>SUM(AY12:AY12)</f>
        <v>1227.3800000000001</v>
      </c>
      <c r="AZ17" s="510"/>
      <c r="BA17" s="510"/>
      <c r="BB17" s="510">
        <f>SUM(BB12:BB12)</f>
        <v>1227.3800000000001</v>
      </c>
      <c r="BC17" s="510"/>
      <c r="BD17" s="510"/>
      <c r="BE17" s="510">
        <f>SUM(BE12:BE12)</f>
        <v>1227.3800000000001</v>
      </c>
      <c r="BF17" s="510"/>
      <c r="BG17" s="510"/>
      <c r="BH17" s="510">
        <f>SUM(BH12:BH12)</f>
        <v>1227.3800000000001</v>
      </c>
      <c r="BI17" s="510"/>
      <c r="BJ17" s="510"/>
      <c r="BK17" s="510">
        <f>SUM(BK12:BK12)</f>
        <v>1227.3800000000001</v>
      </c>
      <c r="BL17" s="510"/>
      <c r="BM17" s="510"/>
      <c r="BN17" s="510">
        <f>SUM(BN12:BN12)</f>
        <v>1227.3800000000001</v>
      </c>
      <c r="BO17" s="510"/>
      <c r="BP17" s="510"/>
      <c r="BQ17" s="510">
        <f>SUM(BQ12:BQ12)</f>
        <v>1227.3800000000001</v>
      </c>
      <c r="BR17" s="510"/>
      <c r="BS17" s="510"/>
      <c r="BT17" s="510">
        <f>SUM(BT12:BT12)</f>
        <v>0</v>
      </c>
      <c r="BU17" s="524">
        <f>SUM(AM17:BT17)</f>
        <v>13501.180000000004</v>
      </c>
    </row>
    <row r="18" spans="1:73" s="519" customFormat="1" x14ac:dyDescent="0.2">
      <c r="A18" s="514"/>
      <c r="B18" s="520"/>
      <c r="C18" s="525" t="s">
        <v>98</v>
      </c>
      <c r="D18" s="517">
        <f>SUM(D13:D15)</f>
        <v>2426.73</v>
      </c>
      <c r="E18" s="517"/>
      <c r="F18" s="517"/>
      <c r="G18" s="517">
        <f>SUM(G13:G15)</f>
        <v>2426.73</v>
      </c>
      <c r="H18" s="517"/>
      <c r="I18" s="517"/>
      <c r="J18" s="517">
        <f t="shared" ref="J18" si="13">SUM(J13:J15)</f>
        <v>2426.73</v>
      </c>
      <c r="K18" s="517"/>
      <c r="L18" s="517"/>
      <c r="M18" s="517">
        <f t="shared" ref="M18" si="14">SUM(M13:M15)</f>
        <v>2426.73</v>
      </c>
      <c r="N18" s="517"/>
      <c r="O18" s="517"/>
      <c r="P18" s="517">
        <f t="shared" ref="P18" si="15">SUM(P13:P15)</f>
        <v>2426.73</v>
      </c>
      <c r="Q18" s="517"/>
      <c r="R18" s="517"/>
      <c r="S18" s="517">
        <f t="shared" ref="S18" si="16">SUM(S13:S15)</f>
        <v>2426.73</v>
      </c>
      <c r="T18" s="517"/>
      <c r="U18" s="517"/>
      <c r="V18" s="517">
        <f t="shared" ref="V18" si="17">SUM(V13:V15)</f>
        <v>2426.73</v>
      </c>
      <c r="W18" s="517"/>
      <c r="X18" s="517"/>
      <c r="Y18" s="517">
        <f t="shared" ref="Y18" si="18">SUM(Y13:Y15)</f>
        <v>2426.73</v>
      </c>
      <c r="Z18" s="517"/>
      <c r="AA18" s="517"/>
      <c r="AB18" s="517">
        <f t="shared" ref="AB18" si="19">SUM(AB13:AB15)</f>
        <v>2426.73</v>
      </c>
      <c r="AC18" s="517"/>
      <c r="AD18" s="517"/>
      <c r="AE18" s="517">
        <f t="shared" ref="AE18" si="20">SUM(AE13:AE15)</f>
        <v>2426.73</v>
      </c>
      <c r="AF18" s="517"/>
      <c r="AG18" s="517"/>
      <c r="AH18" s="517">
        <f t="shared" ref="AH18" si="21">SUM(AH13:AH15)</f>
        <v>2426.73</v>
      </c>
      <c r="AI18" s="517"/>
      <c r="AJ18" s="517"/>
      <c r="AK18" s="517">
        <f t="shared" ref="AK18:AM18" si="22">SUM(AK13:AK15)</f>
        <v>2426.73</v>
      </c>
      <c r="AL18" s="518">
        <f>SUM(D18:AK18)</f>
        <v>29120.76</v>
      </c>
      <c r="AM18" s="517">
        <f t="shared" si="22"/>
        <v>2499.5299999999997</v>
      </c>
      <c r="AN18" s="517"/>
      <c r="AO18" s="517"/>
      <c r="AP18" s="517">
        <f t="shared" ref="AP18" si="23">SUM(AP13:AP15)</f>
        <v>2499.5299999999997</v>
      </c>
      <c r="AQ18" s="517"/>
      <c r="AR18" s="517"/>
      <c r="AS18" s="517">
        <f t="shared" ref="AS18:BT18" si="24">SUM(AS13:AS15)</f>
        <v>2499.5299999999997</v>
      </c>
      <c r="AT18" s="517"/>
      <c r="AU18" s="517"/>
      <c r="AV18" s="517">
        <f t="shared" si="24"/>
        <v>2499.5299999999997</v>
      </c>
      <c r="AW18" s="517"/>
      <c r="AX18" s="517"/>
      <c r="AY18" s="517">
        <f t="shared" si="24"/>
        <v>2499.5299999999997</v>
      </c>
      <c r="AZ18" s="517"/>
      <c r="BA18" s="517"/>
      <c r="BB18" s="517">
        <f t="shared" si="24"/>
        <v>2499.5299999999997</v>
      </c>
      <c r="BC18" s="517"/>
      <c r="BD18" s="517"/>
      <c r="BE18" s="517">
        <f t="shared" si="24"/>
        <v>2499.5299999999997</v>
      </c>
      <c r="BF18" s="517"/>
      <c r="BG18" s="517"/>
      <c r="BH18" s="517">
        <f t="shared" si="24"/>
        <v>2499.5299999999997</v>
      </c>
      <c r="BI18" s="517"/>
      <c r="BJ18" s="517"/>
      <c r="BK18" s="517">
        <f t="shared" si="24"/>
        <v>2499.5299999999997</v>
      </c>
      <c r="BL18" s="517"/>
      <c r="BM18" s="517"/>
      <c r="BN18" s="517">
        <f t="shared" si="24"/>
        <v>2499.5299999999997</v>
      </c>
      <c r="BO18" s="517"/>
      <c r="BP18" s="517"/>
      <c r="BQ18" s="517">
        <f t="shared" si="24"/>
        <v>2499.5299999999997</v>
      </c>
      <c r="BR18" s="517"/>
      <c r="BS18" s="517"/>
      <c r="BT18" s="517">
        <f t="shared" si="24"/>
        <v>0</v>
      </c>
      <c r="BU18" s="518">
        <f>SUM(AM18:BT18)</f>
        <v>27494.829999999991</v>
      </c>
    </row>
    <row r="19" spans="1:73" s="250" customFormat="1" x14ac:dyDescent="0.2">
      <c r="B19" s="481"/>
      <c r="C19" s="480" t="s">
        <v>99</v>
      </c>
      <c r="D19" s="526">
        <f>ROUND(SUM(D17:D18)*0.27,2)</f>
        <v>1298.7</v>
      </c>
      <c r="E19" s="526"/>
      <c r="F19" s="526"/>
      <c r="G19" s="526">
        <f>ROUND(SUM(G17:G18)*0.27,2)</f>
        <v>976.96</v>
      </c>
      <c r="H19" s="526"/>
      <c r="I19" s="526"/>
      <c r="J19" s="526">
        <f>ROUND(SUM(J17:J18)*0.27,2)</f>
        <v>976.96</v>
      </c>
      <c r="K19" s="526"/>
      <c r="L19" s="526"/>
      <c r="M19" s="526">
        <f>ROUND(SUM(M17:M18)*0.27,2)</f>
        <v>976.96</v>
      </c>
      <c r="N19" s="526"/>
      <c r="O19" s="526"/>
      <c r="P19" s="526">
        <f>ROUND(SUM(P17:P18)*0.27,2)</f>
        <v>976.96</v>
      </c>
      <c r="Q19" s="526"/>
      <c r="R19" s="526"/>
      <c r="S19" s="526">
        <f>ROUND(SUM(S17:S18)*0.27,2)</f>
        <v>976.96</v>
      </c>
      <c r="T19" s="526"/>
      <c r="U19" s="526"/>
      <c r="V19" s="526">
        <f>ROUND(SUM(V17:V18)*0.27,2)</f>
        <v>976.96</v>
      </c>
      <c r="W19" s="526"/>
      <c r="X19" s="526"/>
      <c r="Y19" s="526">
        <f>ROUND(SUM(Y17:Y18)*0.27,2)</f>
        <v>976.96</v>
      </c>
      <c r="Z19" s="526"/>
      <c r="AA19" s="526"/>
      <c r="AB19" s="526">
        <f>ROUND(SUM(AB17:AB18)*0.27,2)</f>
        <v>976.96</v>
      </c>
      <c r="AC19" s="526"/>
      <c r="AD19" s="526"/>
      <c r="AE19" s="526">
        <f>ROUND(SUM(AE17:AE18)*0.27,2)</f>
        <v>976.96</v>
      </c>
      <c r="AF19" s="526"/>
      <c r="AG19" s="526"/>
      <c r="AH19" s="526">
        <f>ROUND(SUM(AH17:AH18)*0.27,2)</f>
        <v>976.96</v>
      </c>
      <c r="AI19" s="526"/>
      <c r="AJ19" s="526"/>
      <c r="AK19" s="526">
        <f>ROUND(SUM(AK17:AK18)*0.27,2)</f>
        <v>976.96</v>
      </c>
      <c r="AL19" s="504">
        <f>SUM(D19:AK19)</f>
        <v>12045.259999999998</v>
      </c>
      <c r="AM19" s="526">
        <f>ROUND(SUM(AM17:AM18)*0.271,2)</f>
        <v>1009.99</v>
      </c>
      <c r="AN19" s="526"/>
      <c r="AO19" s="526"/>
      <c r="AP19" s="526">
        <f>ROUND(SUM(AP17:AP18)*0.271,2)</f>
        <v>1009.99</v>
      </c>
      <c r="AQ19" s="526"/>
      <c r="AR19" s="526"/>
      <c r="AS19" s="526">
        <f t="shared" ref="AS19" si="25">ROUND(SUM(AS17:AS18)*0.271,2)</f>
        <v>1009.99</v>
      </c>
      <c r="AT19" s="526"/>
      <c r="AU19" s="526"/>
      <c r="AV19" s="526">
        <f t="shared" ref="AV19" si="26">ROUND(SUM(AV17:AV18)*0.271,2)</f>
        <v>1009.99</v>
      </c>
      <c r="AW19" s="526"/>
      <c r="AX19" s="526"/>
      <c r="AY19" s="526">
        <f t="shared" ref="AY19" si="27">ROUND(SUM(AY17:AY18)*0.271,2)</f>
        <v>1009.99</v>
      </c>
      <c r="AZ19" s="526"/>
      <c r="BA19" s="526"/>
      <c r="BB19" s="526">
        <f t="shared" ref="BB19" si="28">ROUND(SUM(BB17:BB18)*0.271,2)</f>
        <v>1009.99</v>
      </c>
      <c r="BC19" s="526"/>
      <c r="BD19" s="526"/>
      <c r="BE19" s="526">
        <f t="shared" ref="BE19" si="29">ROUND(SUM(BE17:BE18)*0.271,2)</f>
        <v>1009.99</v>
      </c>
      <c r="BF19" s="526"/>
      <c r="BG19" s="526"/>
      <c r="BH19" s="526">
        <f t="shared" ref="BH19" si="30">ROUND(SUM(BH17:BH18)*0.271,2)</f>
        <v>1009.99</v>
      </c>
      <c r="BI19" s="526"/>
      <c r="BJ19" s="526"/>
      <c r="BK19" s="526">
        <f t="shared" ref="BK19" si="31">ROUND(SUM(BK17:BK18)*0.271,2)</f>
        <v>1009.99</v>
      </c>
      <c r="BL19" s="526"/>
      <c r="BM19" s="526"/>
      <c r="BN19" s="526">
        <f t="shared" ref="BN19" si="32">ROUND(SUM(BN17:BN18)*0.271,2)</f>
        <v>1009.99</v>
      </c>
      <c r="BO19" s="526"/>
      <c r="BP19" s="526"/>
      <c r="BQ19" s="526">
        <f t="shared" ref="BQ19" si="33">ROUND(SUM(BQ17:BQ18)*0.271,2)</f>
        <v>1009.99</v>
      </c>
      <c r="BR19" s="526"/>
      <c r="BS19" s="526"/>
      <c r="BT19" s="526">
        <f t="shared" ref="BT19" si="34">ROUND(SUM(BT17:BT18)*0.271,2)</f>
        <v>0</v>
      </c>
      <c r="BU19" s="504">
        <f>SUM(AM19:BT19)</f>
        <v>11109.89</v>
      </c>
    </row>
    <row r="20" spans="1:73" x14ac:dyDescent="0.2">
      <c r="A20" s="520"/>
      <c r="B20" s="480" t="s">
        <v>100</v>
      </c>
      <c r="C20" s="527" t="s">
        <v>101</v>
      </c>
      <c r="D20" s="238">
        <f>SUM(D17:D19)</f>
        <v>6108.69</v>
      </c>
      <c r="E20" s="238"/>
      <c r="F20" s="238"/>
      <c r="G20" s="238">
        <f>SUM(G17:G19)</f>
        <v>4595.32</v>
      </c>
      <c r="H20" s="238"/>
      <c r="I20" s="238"/>
      <c r="J20" s="238">
        <f>SUM(J17:J19)</f>
        <v>4595.32</v>
      </c>
      <c r="K20" s="238"/>
      <c r="L20" s="238"/>
      <c r="M20" s="238">
        <f>SUM(M17:M19)</f>
        <v>4595.32</v>
      </c>
      <c r="N20" s="238"/>
      <c r="O20" s="238"/>
      <c r="P20" s="238">
        <f>SUM(P17:P19)</f>
        <v>4595.32</v>
      </c>
      <c r="Q20" s="238"/>
      <c r="R20" s="238"/>
      <c r="S20" s="528">
        <f>SUM(S17:S19)</f>
        <v>4595.32</v>
      </c>
      <c r="T20" s="238"/>
      <c r="U20" s="238"/>
      <c r="V20" s="238">
        <f>SUM(V17:V19)</f>
        <v>4595.32</v>
      </c>
      <c r="W20" s="238"/>
      <c r="X20" s="238"/>
      <c r="Y20" s="238">
        <f>SUM(Y17:Y19)</f>
        <v>4595.32</v>
      </c>
      <c r="Z20" s="238"/>
      <c r="AA20" s="238"/>
      <c r="AB20" s="238">
        <f>SUM(AB17:AB19)</f>
        <v>4595.32</v>
      </c>
      <c r="AC20" s="238"/>
      <c r="AD20" s="238"/>
      <c r="AE20" s="238">
        <f>SUM(AE17:AE19)</f>
        <v>4595.32</v>
      </c>
      <c r="AF20" s="238"/>
      <c r="AG20" s="238"/>
      <c r="AH20" s="238">
        <f>SUM(AH17:AH19)</f>
        <v>4595.32</v>
      </c>
      <c r="AI20" s="238"/>
      <c r="AJ20" s="238"/>
      <c r="AK20" s="238">
        <f>SUM(AK17:AK19)</f>
        <v>4595.32</v>
      </c>
      <c r="AL20" s="501">
        <f>SUM(D20:AK20)</f>
        <v>56657.21</v>
      </c>
      <c r="AM20" s="238">
        <f>SUM(AM17:AM19)</f>
        <v>4736.8999999999996</v>
      </c>
      <c r="AN20" s="238"/>
      <c r="AO20" s="238"/>
      <c r="AP20" s="238">
        <f>SUM(AP17:AP19)</f>
        <v>4736.8999999999996</v>
      </c>
      <c r="AQ20" s="238"/>
      <c r="AR20" s="238"/>
      <c r="AS20" s="238">
        <f>SUM(AS17:AS19)</f>
        <v>4736.8999999999996</v>
      </c>
      <c r="AT20" s="238"/>
      <c r="AU20" s="238"/>
      <c r="AV20" s="238">
        <f>SUM(AV17:AV19)</f>
        <v>4736.8999999999996</v>
      </c>
      <c r="AW20" s="238"/>
      <c r="AX20" s="238"/>
      <c r="AY20" s="238">
        <f>SUM(AY17:AY19)</f>
        <v>4736.8999999999996</v>
      </c>
      <c r="AZ20" s="238"/>
      <c r="BA20" s="238"/>
      <c r="BB20" s="528">
        <f>SUM(BB17:BB19)</f>
        <v>4736.8999999999996</v>
      </c>
      <c r="BC20" s="238"/>
      <c r="BD20" s="238"/>
      <c r="BE20" s="238">
        <f>SUM(BE17:BE19)</f>
        <v>4736.8999999999996</v>
      </c>
      <c r="BF20" s="238"/>
      <c r="BG20" s="238"/>
      <c r="BH20" s="238">
        <f>SUM(BH17:BH19)</f>
        <v>4736.8999999999996</v>
      </c>
      <c r="BI20" s="238"/>
      <c r="BJ20" s="238"/>
      <c r="BK20" s="238">
        <f>SUM(BK17:BK19)</f>
        <v>4736.8999999999996</v>
      </c>
      <c r="BL20" s="238"/>
      <c r="BM20" s="238"/>
      <c r="BN20" s="238">
        <f>SUM(BN17:BN19)</f>
        <v>4736.8999999999996</v>
      </c>
      <c r="BO20" s="238"/>
      <c r="BP20" s="238"/>
      <c r="BQ20" s="238">
        <f>SUM(BQ17:BQ19)</f>
        <v>4736.8999999999996</v>
      </c>
      <c r="BR20" s="238"/>
      <c r="BS20" s="238"/>
      <c r="BT20" s="238">
        <f>SUM(BT17:BT19)</f>
        <v>0</v>
      </c>
      <c r="BU20" s="501">
        <f>SUM(AM20:BT20)</f>
        <v>52105.900000000009</v>
      </c>
    </row>
    <row r="21" spans="1:73" ht="6" customHeight="1" x14ac:dyDescent="0.2">
      <c r="B21" s="480"/>
      <c r="C21" s="482"/>
      <c r="D21" s="483"/>
      <c r="G21" s="483"/>
      <c r="J21" s="483"/>
      <c r="M21" s="483"/>
      <c r="P21" s="483"/>
      <c r="S21" s="486"/>
      <c r="V21" s="483"/>
      <c r="Y21" s="483"/>
      <c r="AB21" s="483"/>
      <c r="AE21" s="483"/>
      <c r="AH21" s="483"/>
      <c r="AK21" s="483"/>
      <c r="AL21" s="485"/>
      <c r="AM21" s="483"/>
      <c r="AP21" s="483"/>
      <c r="AS21" s="483"/>
      <c r="AV21" s="483"/>
      <c r="AY21" s="483"/>
      <c r="BB21" s="486"/>
      <c r="BE21" s="483"/>
      <c r="BH21" s="483"/>
      <c r="BK21" s="483"/>
      <c r="BN21" s="483"/>
      <c r="BQ21" s="483"/>
      <c r="BT21" s="483"/>
      <c r="BU21" s="485"/>
    </row>
    <row r="22" spans="1:73" x14ac:dyDescent="0.2">
      <c r="A22" s="480" t="s">
        <v>100</v>
      </c>
      <c r="C22" s="506"/>
      <c r="D22" s="529"/>
      <c r="E22" s="238"/>
      <c r="F22" s="238"/>
      <c r="G22" s="529"/>
      <c r="H22" s="238"/>
      <c r="I22" s="238"/>
      <c r="J22" s="529"/>
      <c r="K22" s="238"/>
      <c r="L22" s="238"/>
      <c r="M22" s="529"/>
      <c r="N22" s="238"/>
      <c r="O22" s="238"/>
      <c r="P22" s="529"/>
      <c r="Q22" s="238"/>
      <c r="R22" s="238"/>
      <c r="S22" s="530"/>
      <c r="T22" s="238"/>
      <c r="U22" s="238"/>
      <c r="V22" s="529"/>
      <c r="W22" s="238"/>
      <c r="X22" s="238"/>
      <c r="Y22" s="529"/>
      <c r="Z22" s="238"/>
      <c r="AA22" s="238"/>
      <c r="AB22" s="529"/>
      <c r="AC22" s="238"/>
      <c r="AD22" s="238"/>
      <c r="AE22" s="529"/>
      <c r="AF22" s="238"/>
      <c r="AG22" s="238"/>
      <c r="AH22" s="529"/>
      <c r="AI22" s="238"/>
      <c r="AJ22" s="238"/>
      <c r="AK22" s="529"/>
      <c r="AL22" s="504"/>
      <c r="AM22" s="529"/>
      <c r="AN22" s="238"/>
      <c r="AO22" s="238"/>
      <c r="AP22" s="529"/>
      <c r="AQ22" s="238"/>
      <c r="AR22" s="238"/>
      <c r="AS22" s="529"/>
      <c r="AT22" s="238"/>
      <c r="AU22" s="238"/>
      <c r="AV22" s="529"/>
      <c r="AW22" s="238"/>
      <c r="AX22" s="238"/>
      <c r="AY22" s="529"/>
      <c r="AZ22" s="238"/>
      <c r="BA22" s="238"/>
      <c r="BB22" s="530"/>
      <c r="BC22" s="238"/>
      <c r="BD22" s="238"/>
      <c r="BE22" s="529"/>
      <c r="BF22" s="238"/>
      <c r="BG22" s="238"/>
      <c r="BH22" s="529"/>
      <c r="BI22" s="238"/>
      <c r="BJ22" s="238"/>
      <c r="BK22" s="529"/>
      <c r="BL22" s="238"/>
      <c r="BM22" s="238"/>
      <c r="BN22" s="529"/>
      <c r="BO22" s="238"/>
      <c r="BP22" s="238"/>
      <c r="BQ22" s="529"/>
      <c r="BR22" s="238"/>
      <c r="BS22" s="238"/>
      <c r="BT22" s="529"/>
      <c r="BU22" s="504"/>
    </row>
    <row r="23" spans="1:73" ht="25.5" x14ac:dyDescent="0.2">
      <c r="A23" s="480" t="s">
        <v>165</v>
      </c>
      <c r="C23" s="482" t="s">
        <v>297</v>
      </c>
      <c r="D23" s="483">
        <v>3000</v>
      </c>
      <c r="G23" s="483">
        <v>0</v>
      </c>
      <c r="J23" s="483">
        <v>0</v>
      </c>
      <c r="M23" s="483">
        <v>0</v>
      </c>
      <c r="P23" s="483">
        <v>0</v>
      </c>
      <c r="S23" s="483">
        <v>0</v>
      </c>
      <c r="V23" s="483">
        <v>0</v>
      </c>
      <c r="Y23" s="483">
        <v>0</v>
      </c>
      <c r="AB23" s="483">
        <v>0</v>
      </c>
      <c r="AE23" s="483">
        <v>0</v>
      </c>
      <c r="AH23" s="531">
        <f>5000-SUM(D23:AE23)</f>
        <v>2000</v>
      </c>
      <c r="AK23" s="483">
        <v>0</v>
      </c>
      <c r="AL23" s="504">
        <f>SUM(D23:AK23)</f>
        <v>5000</v>
      </c>
      <c r="AM23" s="483">
        <v>0</v>
      </c>
      <c r="AP23" s="483">
        <v>0</v>
      </c>
      <c r="AS23" s="483">
        <v>0</v>
      </c>
      <c r="AV23" s="483">
        <v>0</v>
      </c>
      <c r="AY23" s="483">
        <v>0</v>
      </c>
      <c r="BB23" s="483">
        <v>0</v>
      </c>
      <c r="BE23" s="483">
        <v>0</v>
      </c>
      <c r="BH23" s="483">
        <v>0</v>
      </c>
      <c r="BK23" s="483">
        <v>0</v>
      </c>
      <c r="BN23" s="483">
        <v>0</v>
      </c>
      <c r="BQ23" s="531">
        <v>3000</v>
      </c>
      <c r="BT23" s="483">
        <v>0</v>
      </c>
      <c r="BU23" s="504">
        <f t="shared" ref="BU23:BU24" si="35">SUM(AM23:BT23)</f>
        <v>3000</v>
      </c>
    </row>
    <row r="24" spans="1:73" s="237" customFormat="1" x14ac:dyDescent="0.2">
      <c r="A24" s="480"/>
      <c r="B24" s="481"/>
      <c r="C24" s="532" t="s">
        <v>102</v>
      </c>
      <c r="D24" s="498">
        <f>SUM(D23:D23)</f>
        <v>3000</v>
      </c>
      <c r="G24" s="498">
        <f>SUM(G23:G23)</f>
        <v>0</v>
      </c>
      <c r="J24" s="498">
        <f>SUM(J23:J23)</f>
        <v>0</v>
      </c>
      <c r="M24" s="498">
        <f>SUM(M23:M23)</f>
        <v>0</v>
      </c>
      <c r="P24" s="498">
        <f>SUM(P23:P23)</f>
        <v>0</v>
      </c>
      <c r="S24" s="498">
        <f>SUM(S23:S23)</f>
        <v>0</v>
      </c>
      <c r="V24" s="498">
        <f>SUM(V23:V23)</f>
        <v>0</v>
      </c>
      <c r="Y24" s="498">
        <f>SUM(Y23:Y23)</f>
        <v>0</v>
      </c>
      <c r="AB24" s="498">
        <f>SUM(AB23:AB23)</f>
        <v>0</v>
      </c>
      <c r="AE24" s="498">
        <f>SUM(AE23:AE23)</f>
        <v>0</v>
      </c>
      <c r="AH24" s="533">
        <f>SUM(AH23:AH23)</f>
        <v>2000</v>
      </c>
      <c r="AK24" s="498">
        <f>SUM(AK23:AK23)</f>
        <v>0</v>
      </c>
      <c r="AL24" s="501">
        <f>SUM(D24:AK24)</f>
        <v>5000</v>
      </c>
      <c r="AM24" s="498">
        <f>SUM(AM23:AM23)</f>
        <v>0</v>
      </c>
      <c r="AP24" s="498">
        <f>SUM(AP23:AP23)</f>
        <v>0</v>
      </c>
      <c r="AS24" s="498">
        <f>SUM(AS23:AS23)</f>
        <v>0</v>
      </c>
      <c r="AV24" s="498">
        <f>SUM(AV23:AV23)</f>
        <v>0</v>
      </c>
      <c r="AY24" s="498">
        <f>SUM(AY23:AY23)</f>
        <v>0</v>
      </c>
      <c r="BB24" s="498">
        <f>SUM(BB23:BB23)</f>
        <v>0</v>
      </c>
      <c r="BE24" s="498">
        <f>SUM(BE23:BE23)</f>
        <v>0</v>
      </c>
      <c r="BH24" s="498">
        <f>SUM(BH23:BH23)</f>
        <v>0</v>
      </c>
      <c r="BK24" s="498">
        <f>SUM(BK23:BK23)</f>
        <v>0</v>
      </c>
      <c r="BN24" s="498">
        <f>SUM(BN23:BN23)</f>
        <v>0</v>
      </c>
      <c r="BQ24" s="533">
        <f>SUM(BQ23:BQ23)</f>
        <v>3000</v>
      </c>
      <c r="BT24" s="498">
        <f>SUM(BT23:BT23)</f>
        <v>0</v>
      </c>
      <c r="BU24" s="501">
        <f t="shared" si="35"/>
        <v>3000</v>
      </c>
    </row>
    <row r="25" spans="1:73" ht="6" customHeight="1" x14ac:dyDescent="0.2">
      <c r="C25" s="482"/>
      <c r="D25" s="483"/>
      <c r="G25" s="483"/>
      <c r="J25" s="483"/>
      <c r="M25" s="483"/>
      <c r="P25" s="483"/>
      <c r="S25" s="483"/>
      <c r="V25" s="483"/>
      <c r="Y25" s="483"/>
      <c r="AB25" s="483"/>
      <c r="AE25" s="483"/>
      <c r="AH25" s="531"/>
      <c r="AK25" s="483"/>
      <c r="AL25" s="485"/>
      <c r="AM25" s="483"/>
      <c r="AP25" s="483"/>
      <c r="AS25" s="483"/>
      <c r="AV25" s="483"/>
      <c r="AY25" s="483"/>
      <c r="BB25" s="483"/>
      <c r="BE25" s="483"/>
      <c r="BH25" s="483"/>
      <c r="BK25" s="483"/>
      <c r="BN25" s="483"/>
      <c r="BQ25" s="531"/>
      <c r="BT25" s="483"/>
      <c r="BU25" s="485"/>
    </row>
    <row r="26" spans="1:73" s="250" customFormat="1" x14ac:dyDescent="0.2">
      <c r="A26" s="480" t="s">
        <v>103</v>
      </c>
      <c r="B26" s="481"/>
      <c r="C26" s="506"/>
      <c r="D26" s="483"/>
      <c r="G26" s="483"/>
      <c r="J26" s="483"/>
      <c r="M26" s="483"/>
      <c r="P26" s="483"/>
      <c r="S26" s="483"/>
      <c r="V26" s="483"/>
      <c r="Y26" s="483"/>
      <c r="AB26" s="483"/>
      <c r="AE26" s="483"/>
      <c r="AH26" s="531"/>
      <c r="AK26" s="483"/>
      <c r="AL26" s="504"/>
      <c r="AM26" s="483"/>
      <c r="AP26" s="483"/>
      <c r="AS26" s="483"/>
      <c r="AV26" s="483"/>
      <c r="AY26" s="483"/>
      <c r="BB26" s="483"/>
      <c r="BE26" s="483"/>
      <c r="BH26" s="483"/>
      <c r="BK26" s="483"/>
      <c r="BN26" s="483"/>
      <c r="BQ26" s="531"/>
      <c r="BT26" s="483"/>
      <c r="BU26" s="504"/>
    </row>
    <row r="27" spans="1:73" s="250" customFormat="1" ht="25.5" x14ac:dyDescent="0.2">
      <c r="A27" s="480" t="s">
        <v>104</v>
      </c>
      <c r="B27" s="481"/>
      <c r="C27" s="482" t="s">
        <v>296</v>
      </c>
      <c r="D27" s="483">
        <v>0</v>
      </c>
      <c r="G27" s="483">
        <v>0</v>
      </c>
      <c r="J27" s="483">
        <v>0</v>
      </c>
      <c r="M27" s="483">
        <v>0</v>
      </c>
      <c r="P27" s="483">
        <v>0</v>
      </c>
      <c r="S27" s="483">
        <v>0</v>
      </c>
      <c r="V27" s="483">
        <v>0</v>
      </c>
      <c r="Y27" s="483">
        <v>0</v>
      </c>
      <c r="AB27" s="483">
        <v>0</v>
      </c>
      <c r="AE27" s="483">
        <v>0</v>
      </c>
      <c r="AH27" s="531">
        <f>1500-SUM(D27:AE27)</f>
        <v>1500</v>
      </c>
      <c r="AK27" s="534">
        <v>0</v>
      </c>
      <c r="AL27" s="504">
        <f>SUM(D27:AK27)</f>
        <v>1500</v>
      </c>
      <c r="AM27" s="483">
        <v>0</v>
      </c>
      <c r="AP27" s="483">
        <v>0</v>
      </c>
      <c r="AS27" s="483">
        <v>0</v>
      </c>
      <c r="AV27" s="483">
        <v>0</v>
      </c>
      <c r="AY27" s="483">
        <v>0</v>
      </c>
      <c r="BB27" s="483">
        <v>0</v>
      </c>
      <c r="BE27" s="483">
        <v>0</v>
      </c>
      <c r="BH27" s="483">
        <v>0</v>
      </c>
      <c r="BK27" s="483">
        <v>0</v>
      </c>
      <c r="BN27" s="483">
        <v>0</v>
      </c>
      <c r="BQ27" s="531">
        <f>1500-SUM(AM27:BN27)</f>
        <v>1500</v>
      </c>
      <c r="BT27" s="534">
        <v>0</v>
      </c>
      <c r="BU27" s="504">
        <f t="shared" ref="BU27" si="36">SUM(AM27:BT27)</f>
        <v>1500</v>
      </c>
    </row>
    <row r="28" spans="1:73" s="250" customFormat="1" ht="36.75" customHeight="1" x14ac:dyDescent="0.2">
      <c r="A28" s="480" t="s">
        <v>272</v>
      </c>
      <c r="B28" s="481"/>
      <c r="C28" s="482" t="s">
        <v>295</v>
      </c>
      <c r="D28" s="483">
        <v>0</v>
      </c>
      <c r="G28" s="483">
        <v>0</v>
      </c>
      <c r="J28" s="483">
        <v>2021.38</v>
      </c>
      <c r="M28" s="483">
        <v>0</v>
      </c>
      <c r="P28" s="483">
        <v>0</v>
      </c>
      <c r="S28" s="483">
        <v>0</v>
      </c>
      <c r="V28" s="483">
        <v>0</v>
      </c>
      <c r="Y28" s="483">
        <v>0</v>
      </c>
      <c r="AB28" s="483">
        <v>0</v>
      </c>
      <c r="AE28" s="483">
        <v>0</v>
      </c>
      <c r="AH28" s="531">
        <f>10000-2500-SUM(D28:AE28)</f>
        <v>5478.62</v>
      </c>
      <c r="AK28" s="534">
        <v>0</v>
      </c>
      <c r="AL28" s="504">
        <f>SUM(D28:AK28)</f>
        <v>7500</v>
      </c>
      <c r="AM28" s="483">
        <v>0</v>
      </c>
      <c r="AP28" s="483">
        <v>0</v>
      </c>
      <c r="AS28" s="483">
        <v>0</v>
      </c>
      <c r="AV28" s="483">
        <v>0</v>
      </c>
      <c r="AY28" s="483">
        <v>0</v>
      </c>
      <c r="BB28" s="483">
        <v>0</v>
      </c>
      <c r="BE28" s="483">
        <v>0</v>
      </c>
      <c r="BH28" s="483">
        <v>0</v>
      </c>
      <c r="BK28" s="483">
        <v>0</v>
      </c>
      <c r="BN28" s="483">
        <v>0</v>
      </c>
      <c r="BQ28" s="531">
        <v>8000</v>
      </c>
      <c r="BT28" s="534">
        <v>0</v>
      </c>
      <c r="BU28" s="504">
        <f>SUM(AM28:BT28)</f>
        <v>8000</v>
      </c>
    </row>
    <row r="29" spans="1:73" s="237" customFormat="1" x14ac:dyDescent="0.2">
      <c r="A29" s="480"/>
      <c r="B29" s="481"/>
      <c r="C29" s="532" t="s">
        <v>105</v>
      </c>
      <c r="D29" s="498">
        <f>SUM(D27:D28)</f>
        <v>0</v>
      </c>
      <c r="G29" s="498">
        <f>SUM(G27:G28)</f>
        <v>0</v>
      </c>
      <c r="J29" s="498">
        <f>SUM(J27:J28)</f>
        <v>2021.38</v>
      </c>
      <c r="M29" s="498">
        <f>SUM(M27:M28)</f>
        <v>0</v>
      </c>
      <c r="P29" s="498">
        <f>SUM(P27:P28)</f>
        <v>0</v>
      </c>
      <c r="S29" s="498">
        <f>SUM(S27:S28)</f>
        <v>0</v>
      </c>
      <c r="V29" s="498">
        <f>SUM(V27:V28)</f>
        <v>0</v>
      </c>
      <c r="Y29" s="498">
        <f>SUM(Y27:Y28)</f>
        <v>0</v>
      </c>
      <c r="AB29" s="498">
        <f>SUM(AB27:AB28)</f>
        <v>0</v>
      </c>
      <c r="AE29" s="498">
        <f>SUM(AE27:AE28)</f>
        <v>0</v>
      </c>
      <c r="AH29" s="533">
        <f>SUM(AH27:AH28)</f>
        <v>6978.62</v>
      </c>
      <c r="AK29" s="498">
        <f>SUM(AK27:AK28)</f>
        <v>0</v>
      </c>
      <c r="AL29" s="501">
        <f>SUM(D29:AK29)</f>
        <v>9000</v>
      </c>
      <c r="AM29" s="498">
        <f>SUM(AM27:AM28)</f>
        <v>0</v>
      </c>
      <c r="AP29" s="498">
        <f>SUM(AP27:AP28)</f>
        <v>0</v>
      </c>
      <c r="AS29" s="498">
        <f>SUM(AS27:AS28)</f>
        <v>0</v>
      </c>
      <c r="AV29" s="498">
        <f>SUM(AV27:AV28)</f>
        <v>0</v>
      </c>
      <c r="AY29" s="498">
        <f>SUM(AY27:AY28)</f>
        <v>0</v>
      </c>
      <c r="BB29" s="498">
        <f>SUM(BB27:BB28)</f>
        <v>0</v>
      </c>
      <c r="BE29" s="498">
        <f>SUM(BE27:BE28)</f>
        <v>0</v>
      </c>
      <c r="BH29" s="498">
        <f>SUM(BH27:BH28)</f>
        <v>0</v>
      </c>
      <c r="BK29" s="498">
        <f>SUM(BK27:BK28)</f>
        <v>0</v>
      </c>
      <c r="BN29" s="498">
        <f>SUM(BN27:BN28)</f>
        <v>0</v>
      </c>
      <c r="BQ29" s="533">
        <f>SUM(BQ27:BQ28)</f>
        <v>9500</v>
      </c>
      <c r="BT29" s="498">
        <f>SUM(BT27:BT28)</f>
        <v>0</v>
      </c>
      <c r="BU29" s="501">
        <f t="shared" ref="BU29" si="37">SUM(AM29:BT29)</f>
        <v>9500</v>
      </c>
    </row>
    <row r="30" spans="1:73" ht="6" customHeight="1" x14ac:dyDescent="0.2">
      <c r="C30" s="482"/>
      <c r="D30" s="483"/>
      <c r="G30" s="483"/>
      <c r="J30" s="483"/>
      <c r="M30" s="483"/>
      <c r="P30" s="483"/>
      <c r="S30" s="483"/>
      <c r="V30" s="483"/>
      <c r="Y30" s="483"/>
      <c r="AB30" s="483"/>
      <c r="AE30" s="483"/>
      <c r="AH30" s="483"/>
      <c r="AK30" s="483"/>
      <c r="AL30" s="485"/>
      <c r="AM30" s="483"/>
      <c r="AP30" s="483"/>
      <c r="AS30" s="483"/>
      <c r="AV30" s="483"/>
      <c r="AY30" s="483"/>
      <c r="BB30" s="483"/>
      <c r="BE30" s="483"/>
      <c r="BH30" s="483"/>
      <c r="BK30" s="483"/>
      <c r="BN30" s="483"/>
      <c r="BQ30" s="483"/>
      <c r="BT30" s="483"/>
      <c r="BU30" s="485"/>
    </row>
    <row r="31" spans="1:73" s="237" customFormat="1" x14ac:dyDescent="0.2">
      <c r="A31" s="480"/>
      <c r="B31" s="481"/>
      <c r="C31" s="535" t="s">
        <v>106</v>
      </c>
      <c r="D31" s="498">
        <f>D29+D24+D20</f>
        <v>9108.6899999999987</v>
      </c>
      <c r="G31" s="498">
        <f>G29+G24+G20</f>
        <v>4595.32</v>
      </c>
      <c r="J31" s="498">
        <f>J29+J24+J20</f>
        <v>6616.7</v>
      </c>
      <c r="M31" s="498">
        <f>M29+M24+M20</f>
        <v>4595.32</v>
      </c>
      <c r="P31" s="498">
        <f>P29+P24+P20</f>
        <v>4595.32</v>
      </c>
      <c r="S31" s="498">
        <f>S29+S24+S20</f>
        <v>4595.32</v>
      </c>
      <c r="V31" s="498">
        <f>V29+V24+V20</f>
        <v>4595.32</v>
      </c>
      <c r="Y31" s="498">
        <f>Y29+Y24+Y20</f>
        <v>4595.32</v>
      </c>
      <c r="AB31" s="498">
        <f>AB29+AB24+AB20</f>
        <v>4595.32</v>
      </c>
      <c r="AE31" s="498">
        <f>AE29+AE24+AE20</f>
        <v>4595.32</v>
      </c>
      <c r="AH31" s="498">
        <f>AH29+AH24+AH20</f>
        <v>13573.939999999999</v>
      </c>
      <c r="AK31" s="498">
        <f>AK29+AK24+AK20</f>
        <v>4595.32</v>
      </c>
      <c r="AL31" s="501">
        <f>SUM(D31:AK31)</f>
        <v>70657.209999999992</v>
      </c>
      <c r="AM31" s="498">
        <f>AM29+AM24+AM20</f>
        <v>4736.8999999999996</v>
      </c>
      <c r="AP31" s="498">
        <f>AP29+AP24+AP20</f>
        <v>4736.8999999999996</v>
      </c>
      <c r="AS31" s="498">
        <f>AS29+AS24+AS20</f>
        <v>4736.8999999999996</v>
      </c>
      <c r="AV31" s="498">
        <f>AV29+AV24+AV20</f>
        <v>4736.8999999999996</v>
      </c>
      <c r="AY31" s="498">
        <f>AY29+AY24+AY20</f>
        <v>4736.8999999999996</v>
      </c>
      <c r="BB31" s="498">
        <f>BB29+BB24+BB20</f>
        <v>4736.8999999999996</v>
      </c>
      <c r="BE31" s="498">
        <f>BE29+BE24+BE20</f>
        <v>4736.8999999999996</v>
      </c>
      <c r="BH31" s="498">
        <f>BH29+BH24+BH20</f>
        <v>4736.8999999999996</v>
      </c>
      <c r="BK31" s="498">
        <f>BK29+BK24+BK20</f>
        <v>4736.8999999999996</v>
      </c>
      <c r="BN31" s="498">
        <f>BN29+BN24+BN20</f>
        <v>4736.8999999999996</v>
      </c>
      <c r="BQ31" s="498">
        <f>BQ29+BQ24+BQ20</f>
        <v>17236.900000000001</v>
      </c>
      <c r="BT31" s="498">
        <f>BT29+BT24+BT20</f>
        <v>0</v>
      </c>
      <c r="BU31" s="501">
        <f>SUM(AM31:BT31)</f>
        <v>64605.900000000009</v>
      </c>
    </row>
    <row r="32" spans="1:73" ht="6" customHeight="1" x14ac:dyDescent="0.2">
      <c r="C32" s="482"/>
      <c r="D32" s="483"/>
      <c r="G32" s="483"/>
      <c r="J32" s="483"/>
      <c r="M32" s="483"/>
      <c r="P32" s="483"/>
      <c r="S32" s="483"/>
      <c r="V32" s="483"/>
      <c r="Y32" s="483"/>
      <c r="AB32" s="483"/>
      <c r="AE32" s="483"/>
      <c r="AH32" s="483"/>
      <c r="AK32" s="483"/>
      <c r="AL32" s="485"/>
      <c r="AM32" s="483"/>
      <c r="AP32" s="483"/>
      <c r="AS32" s="483"/>
      <c r="AV32" s="483"/>
      <c r="AY32" s="483"/>
      <c r="BB32" s="483"/>
      <c r="BE32" s="483"/>
      <c r="BH32" s="483"/>
      <c r="BK32" s="483"/>
      <c r="BN32" s="483"/>
      <c r="BQ32" s="483"/>
      <c r="BT32" s="483"/>
      <c r="BU32" s="485"/>
    </row>
    <row r="33" spans="1:73" s="250" customFormat="1" x14ac:dyDescent="0.2">
      <c r="A33" s="480" t="s">
        <v>107</v>
      </c>
      <c r="B33" s="481"/>
      <c r="C33" s="506"/>
      <c r="D33" s="483">
        <f>D3+D7-D31</f>
        <v>63391.31</v>
      </c>
      <c r="G33" s="483">
        <f>G3+G7-G31+G6</f>
        <v>58795.99</v>
      </c>
      <c r="J33" s="483">
        <f>J3+J7-J31+J6</f>
        <v>52179.29</v>
      </c>
      <c r="M33" s="483">
        <f>M3+M7-M31+M6</f>
        <v>47583.97</v>
      </c>
      <c r="P33" s="483">
        <f>P3+P7-P31+P6</f>
        <v>42988.65</v>
      </c>
      <c r="S33" s="483">
        <f>S3+S7-S31+S6</f>
        <v>38393.33</v>
      </c>
      <c r="V33" s="483">
        <f>V3+V7-V31+V6</f>
        <v>33798.01</v>
      </c>
      <c r="Y33" s="483">
        <f>Y3+Y7-Y31+Y6</f>
        <v>29202.690000000002</v>
      </c>
      <c r="AB33" s="483">
        <f>AB3+AB7-AB31+AB6</f>
        <v>24607.370000000003</v>
      </c>
      <c r="AE33" s="483">
        <f>AE3+AE7-AE31+AE6</f>
        <v>20012.050000000003</v>
      </c>
      <c r="AH33" s="483">
        <f>AH3+AH7-AH31+AH6</f>
        <v>6438.1100000000042</v>
      </c>
      <c r="AK33" s="483">
        <f>AK3+AK7-AK31+AK6</f>
        <v>0</v>
      </c>
      <c r="AL33" s="504">
        <f>AL3+AL7-AL31</f>
        <v>0</v>
      </c>
      <c r="AM33" s="483">
        <f>AM3+AM7-AM31</f>
        <v>72105.89</v>
      </c>
      <c r="AP33" s="483">
        <f>AP3+AP7-AP31+AP6</f>
        <v>67368.990000000005</v>
      </c>
      <c r="AS33" s="483">
        <f>AS3+AS7-AS31+AS6</f>
        <v>62632.090000000004</v>
      </c>
      <c r="AV33" s="483">
        <f>AV3+AV7-AV31+AV6</f>
        <v>57895.19</v>
      </c>
      <c r="AY33" s="483">
        <f>AY3+AY7-AY31+AY6</f>
        <v>53158.29</v>
      </c>
      <c r="BB33" s="483">
        <f>BB3+BB7-BB31+BB6</f>
        <v>48421.39</v>
      </c>
      <c r="BE33" s="483">
        <f>BE3+BE7-BE31+BE6</f>
        <v>43684.49</v>
      </c>
      <c r="BH33" s="483">
        <f>BH3+BH7-BH31+BH6</f>
        <v>38947.589999999997</v>
      </c>
      <c r="BK33" s="483">
        <f>BK3+BK7-BK31+BK6</f>
        <v>34210.689999999995</v>
      </c>
      <c r="BN33" s="483">
        <f>BN3+BN7-BN31+BN6</f>
        <v>29473.789999999994</v>
      </c>
      <c r="BQ33" s="483">
        <f>BQ3+BQ7-BQ31+BQ6</f>
        <v>12236.889999999992</v>
      </c>
      <c r="BT33" s="483">
        <f>BT3+BT7-BT31+BT6</f>
        <v>-7.2759576141834259E-12</v>
      </c>
      <c r="BU33" s="504">
        <f>BU3+BU7-BU31</f>
        <v>0</v>
      </c>
    </row>
    <row r="35" spans="1:73" ht="33.75" customHeight="1" x14ac:dyDescent="0.2">
      <c r="V35" s="597" t="s">
        <v>108</v>
      </c>
      <c r="W35" s="600"/>
      <c r="X35" s="600"/>
      <c r="Y35" s="600"/>
      <c r="Z35" s="600"/>
      <c r="AA35" s="600"/>
      <c r="AB35" s="600"/>
      <c r="AC35" s="600"/>
      <c r="AD35" s="600"/>
      <c r="AE35" s="600"/>
      <c r="AH35" s="501">
        <f>AH33</f>
        <v>6438.1100000000042</v>
      </c>
      <c r="AJ35" s="3"/>
      <c r="AK35" s="3"/>
      <c r="AL35" s="3"/>
      <c r="BN35" s="532" t="s">
        <v>109</v>
      </c>
      <c r="BQ35" s="501">
        <f>BQ33</f>
        <v>12236.889999999992</v>
      </c>
      <c r="BS35" s="3"/>
      <c r="BT35" s="3"/>
      <c r="BU35" s="3"/>
    </row>
    <row r="36" spans="1:73" ht="33.75" customHeight="1" x14ac:dyDescent="0.2">
      <c r="V36" s="597" t="s">
        <v>298</v>
      </c>
      <c r="W36" s="600"/>
      <c r="X36" s="600"/>
      <c r="Y36" s="600"/>
      <c r="Z36" s="600"/>
      <c r="AA36" s="600"/>
      <c r="AB36" s="600"/>
      <c r="AC36" s="600"/>
      <c r="AD36" s="600"/>
      <c r="AE36" s="600"/>
      <c r="AF36" s="536"/>
      <c r="AG36" s="536"/>
      <c r="AH36" s="537">
        <f>AH35/50000</f>
        <v>0.12876220000000008</v>
      </c>
      <c r="AI36" s="536"/>
      <c r="AJ36" s="536"/>
      <c r="AK36" s="536"/>
      <c r="AL36" s="3"/>
      <c r="BE36" s="3"/>
      <c r="BF36" s="536"/>
      <c r="BG36" s="536"/>
      <c r="BH36" s="536"/>
      <c r="BI36" s="536"/>
      <c r="BJ36" s="536"/>
      <c r="BK36" s="536"/>
      <c r="BL36" s="536"/>
      <c r="BM36" s="536"/>
      <c r="BN36" s="532" t="s">
        <v>110</v>
      </c>
      <c r="BO36" s="536"/>
      <c r="BP36" s="536"/>
      <c r="BQ36" s="537">
        <f>BQ35/50000</f>
        <v>0.24473779999999984</v>
      </c>
      <c r="BR36" s="536"/>
      <c r="BS36" s="536"/>
      <c r="BT36" s="536"/>
      <c r="BU36" s="3"/>
    </row>
  </sheetData>
  <mergeCells count="2">
    <mergeCell ref="V36:AE36"/>
    <mergeCell ref="V35:AE35"/>
  </mergeCells>
  <printOptions horizontalCentered="1"/>
  <pageMargins left="0.25" right="0.25" top="0.35" bottom="0.25" header="0.3" footer="0.3"/>
  <pageSetup paperSize="5" scale="102" orientation="landscape" cellComments="asDisplayed" verticalDpi="1200" r:id="rId1"/>
  <headerFooter>
    <oddFooter>&amp;RPage &amp;P of &amp;N</oddFooter>
  </headerFooter>
  <colBreaks count="3" manualBreakCount="3">
    <brk id="20" max="35" man="1"/>
    <brk id="38" max="35" man="1"/>
    <brk id="55" max="35"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L60"/>
  <sheetViews>
    <sheetView zoomScaleNormal="100" workbookViewId="0">
      <selection activeCell="C17" sqref="C17"/>
    </sheetView>
  </sheetViews>
  <sheetFormatPr defaultRowHeight="12.75" x14ac:dyDescent="0.2"/>
  <cols>
    <col min="1" max="1" width="8.85546875" style="150" customWidth="1"/>
    <col min="2" max="2" width="58.85546875" customWidth="1"/>
    <col min="3" max="3" width="15" style="295" customWidth="1"/>
    <col min="4" max="5" width="1.28515625" customWidth="1"/>
    <col min="6" max="6" width="14.28515625" style="295" customWidth="1"/>
    <col min="7" max="8" width="1.28515625" customWidth="1"/>
    <col min="9" max="9" width="14.28515625" style="295" customWidth="1"/>
    <col min="10" max="11" width="1.28515625" customWidth="1"/>
    <col min="12" max="12" width="14.28515625" style="295" customWidth="1"/>
    <col min="13" max="14" width="1.28515625" customWidth="1"/>
    <col min="15" max="15" width="14.28515625" style="295" customWidth="1"/>
    <col min="16" max="17" width="1.28515625" customWidth="1"/>
    <col min="18" max="18" width="14.28515625" style="295" customWidth="1"/>
    <col min="19" max="20" width="1.28515625" customWidth="1"/>
    <col min="21" max="21" width="14.28515625" style="295" customWidth="1"/>
    <col min="22" max="23" width="1.28515625" style="207" customWidth="1"/>
    <col min="24" max="24" width="14.28515625" style="295" customWidth="1"/>
    <col min="25" max="26" width="1.28515625" style="207" customWidth="1"/>
    <col min="27" max="27" width="14.28515625" style="295" customWidth="1"/>
    <col min="28" max="29" width="1.28515625" style="207" customWidth="1"/>
    <col min="30" max="30" width="14.28515625" style="295" customWidth="1"/>
    <col min="31" max="32" width="1.28515625" style="207" customWidth="1"/>
    <col min="33" max="33" width="14.28515625" style="295" customWidth="1"/>
    <col min="34" max="35" width="1.28515625" style="207" customWidth="1"/>
    <col min="36" max="37" width="14.28515625" style="295" customWidth="1"/>
    <col min="38" max="38" width="58.85546875" customWidth="1"/>
  </cols>
  <sheetData>
    <row r="1" spans="1:38" s="149" customFormat="1" x14ac:dyDescent="0.2">
      <c r="A1" s="458"/>
      <c r="B1" s="459" t="s">
        <v>65</v>
      </c>
      <c r="C1" s="460" t="s">
        <v>135</v>
      </c>
      <c r="D1" s="461"/>
      <c r="E1" s="461"/>
      <c r="F1" s="460" t="s">
        <v>136</v>
      </c>
      <c r="G1" s="461"/>
      <c r="H1" s="461"/>
      <c r="I1" s="460" t="s">
        <v>137</v>
      </c>
      <c r="J1" s="461"/>
      <c r="K1" s="461"/>
      <c r="L1" s="460" t="s">
        <v>138</v>
      </c>
      <c r="M1" s="461"/>
      <c r="N1" s="461"/>
      <c r="O1" s="460" t="s">
        <v>139</v>
      </c>
      <c r="P1" s="461"/>
      <c r="Q1" s="461"/>
      <c r="R1" s="460" t="s">
        <v>140</v>
      </c>
      <c r="S1" s="462"/>
      <c r="T1" s="462"/>
      <c r="U1" s="460" t="s">
        <v>141</v>
      </c>
      <c r="V1" s="461"/>
      <c r="W1" s="461"/>
      <c r="X1" s="460" t="s">
        <v>142</v>
      </c>
      <c r="Y1" s="461"/>
      <c r="Z1" s="461"/>
      <c r="AA1" s="460" t="s">
        <v>143</v>
      </c>
      <c r="AB1" s="461"/>
      <c r="AC1" s="461"/>
      <c r="AD1" s="460" t="s">
        <v>144</v>
      </c>
      <c r="AE1" s="461"/>
      <c r="AF1" s="461"/>
      <c r="AG1" s="460" t="s">
        <v>145</v>
      </c>
      <c r="AH1" s="461"/>
      <c r="AI1" s="461"/>
      <c r="AJ1" s="460" t="s">
        <v>146</v>
      </c>
      <c r="AK1" s="460" t="s">
        <v>118</v>
      </c>
      <c r="AL1" s="149" t="s">
        <v>65</v>
      </c>
    </row>
    <row r="2" spans="1:38" x14ac:dyDescent="0.2">
      <c r="A2" s="458"/>
      <c r="B2" s="463" t="s">
        <v>275</v>
      </c>
      <c r="C2" s="464"/>
      <c r="D2" s="465"/>
      <c r="E2" s="465"/>
      <c r="F2" s="460"/>
      <c r="G2" s="465"/>
      <c r="H2" s="465"/>
      <c r="I2" s="460"/>
      <c r="J2" s="465"/>
      <c r="K2" s="465"/>
      <c r="L2" s="460"/>
      <c r="M2" s="465"/>
      <c r="N2" s="465"/>
      <c r="O2" s="460"/>
      <c r="P2" s="465"/>
      <c r="Q2" s="465"/>
      <c r="R2" s="460"/>
      <c r="S2" s="466"/>
      <c r="T2" s="466"/>
      <c r="U2" s="460"/>
      <c r="V2" s="465"/>
      <c r="W2" s="465"/>
      <c r="X2" s="460"/>
      <c r="Y2" s="465"/>
      <c r="Z2" s="465"/>
      <c r="AA2" s="460"/>
      <c r="AB2" s="465"/>
      <c r="AC2" s="465"/>
      <c r="AD2" s="460"/>
      <c r="AE2" s="465"/>
      <c r="AF2" s="465"/>
      <c r="AG2" s="460"/>
      <c r="AH2" s="465"/>
      <c r="AI2" s="465"/>
      <c r="AJ2" s="460"/>
      <c r="AK2" s="460"/>
      <c r="AL2" s="151" t="s">
        <v>275</v>
      </c>
    </row>
    <row r="3" spans="1:38" x14ac:dyDescent="0.2">
      <c r="A3" s="294" t="s">
        <v>92</v>
      </c>
      <c r="B3" s="151"/>
      <c r="C3" s="156">
        <v>2000000</v>
      </c>
      <c r="D3" s="155"/>
      <c r="E3" s="155"/>
      <c r="F3" s="156">
        <f>C3+C10-C58</f>
        <v>2042692.99</v>
      </c>
      <c r="G3" s="155"/>
      <c r="H3" s="155"/>
      <c r="I3" s="156">
        <f>F3+F10-F58</f>
        <v>2023247.46</v>
      </c>
      <c r="J3" s="155"/>
      <c r="K3" s="155"/>
      <c r="L3" s="156">
        <f>I3+I10-I58</f>
        <v>2012725.13</v>
      </c>
      <c r="M3" s="155"/>
      <c r="N3" s="155"/>
      <c r="O3" s="156">
        <f>L3+L10-L58</f>
        <v>2001366.48</v>
      </c>
      <c r="P3" s="155"/>
      <c r="Q3" s="155"/>
      <c r="R3" s="156">
        <f>O3+O10-O58</f>
        <v>1990844.15</v>
      </c>
      <c r="S3" s="170"/>
      <c r="T3" s="170"/>
      <c r="U3" s="156">
        <f>R3+R10-R58</f>
        <v>1980321.8199999998</v>
      </c>
      <c r="V3" s="155"/>
      <c r="W3" s="155"/>
      <c r="X3" s="156">
        <f>U3+U10-U58</f>
        <v>1969799.4899999998</v>
      </c>
      <c r="Y3" s="155"/>
      <c r="Z3" s="155"/>
      <c r="AA3" s="156">
        <f>X3+X10-X58</f>
        <v>1959277.1599999997</v>
      </c>
      <c r="AB3" s="155"/>
      <c r="AC3" s="155"/>
      <c r="AD3" s="156">
        <f>AA3+AA10-AA58</f>
        <v>1948754.8299999996</v>
      </c>
      <c r="AE3" s="155"/>
      <c r="AF3" s="155"/>
      <c r="AG3" s="156">
        <f>AD3+AD10-AD58</f>
        <v>1937396.1799999997</v>
      </c>
      <c r="AH3" s="155"/>
      <c r="AI3" s="155"/>
      <c r="AJ3" s="186">
        <f>AG3+AG10-AG58</f>
        <v>1926873.8499999996</v>
      </c>
      <c r="AK3" s="156"/>
      <c r="AL3" s="151"/>
    </row>
    <row r="4" spans="1:38" ht="6" customHeight="1" x14ac:dyDescent="0.2">
      <c r="B4" s="151"/>
      <c r="C4" s="156"/>
      <c r="D4" s="155"/>
      <c r="E4" s="155"/>
      <c r="F4" s="156"/>
      <c r="G4" s="155"/>
      <c r="H4" s="155"/>
      <c r="I4" s="156"/>
      <c r="J4" s="155"/>
      <c r="K4" s="155"/>
      <c r="L4" s="156"/>
      <c r="M4" s="155"/>
      <c r="N4" s="155"/>
      <c r="O4" s="156"/>
      <c r="P4" s="155"/>
      <c r="Q4" s="155"/>
      <c r="R4" s="156"/>
      <c r="S4" s="170"/>
      <c r="T4" s="170"/>
      <c r="U4" s="156"/>
      <c r="V4" s="155"/>
      <c r="W4" s="155"/>
      <c r="X4" s="156"/>
      <c r="Y4" s="155"/>
      <c r="Z4" s="155"/>
      <c r="AA4" s="156"/>
      <c r="AB4" s="155"/>
      <c r="AC4" s="155"/>
      <c r="AD4" s="156"/>
      <c r="AE4" s="155"/>
      <c r="AF4" s="155"/>
      <c r="AG4" s="156"/>
      <c r="AH4" s="155"/>
      <c r="AI4" s="155"/>
      <c r="AJ4" s="186"/>
      <c r="AK4" s="156"/>
      <c r="AL4" s="151"/>
    </row>
    <row r="5" spans="1:38" ht="15.75" x14ac:dyDescent="0.25">
      <c r="A5" s="162" t="s">
        <v>93</v>
      </c>
      <c r="B5" s="151"/>
      <c r="C5" s="156"/>
      <c r="D5" s="155"/>
      <c r="E5" s="155"/>
      <c r="F5" s="156"/>
      <c r="G5" s="155"/>
      <c r="H5" s="155"/>
      <c r="I5" s="156"/>
      <c r="J5" s="155"/>
      <c r="K5" s="155"/>
      <c r="L5" s="156"/>
      <c r="M5" s="155"/>
      <c r="N5" s="155"/>
      <c r="O5" s="156"/>
      <c r="P5" s="155"/>
      <c r="Q5" s="155"/>
      <c r="R5" s="156"/>
      <c r="S5" s="170"/>
      <c r="T5" s="170"/>
      <c r="U5" s="156"/>
      <c r="V5" s="155"/>
      <c r="W5" s="155"/>
      <c r="X5" s="156"/>
      <c r="Y5" s="155"/>
      <c r="Z5" s="155"/>
      <c r="AA5" s="156"/>
      <c r="AB5" s="155"/>
      <c r="AC5" s="155"/>
      <c r="AD5" s="156"/>
      <c r="AE5" s="155"/>
      <c r="AF5" s="155"/>
      <c r="AG5" s="156"/>
      <c r="AH5" s="155"/>
      <c r="AI5" s="155"/>
      <c r="AJ5" s="186"/>
      <c r="AK5" s="156"/>
      <c r="AL5" s="151"/>
    </row>
    <row r="6" spans="1:38" ht="15" x14ac:dyDescent="0.2">
      <c r="A6" s="165" t="s">
        <v>147</v>
      </c>
      <c r="B6" s="207" t="s">
        <v>276</v>
      </c>
      <c r="C6" s="295">
        <f>ROUND(4000*1.035,0)</f>
        <v>4140</v>
      </c>
      <c r="F6" s="295">
        <v>0</v>
      </c>
      <c r="I6" s="295">
        <v>0</v>
      </c>
      <c r="L6" s="295">
        <v>0</v>
      </c>
      <c r="O6" s="295">
        <v>0</v>
      </c>
      <c r="R6" s="295">
        <v>0</v>
      </c>
      <c r="S6" s="296"/>
      <c r="T6" s="296"/>
      <c r="U6" s="295">
        <v>0</v>
      </c>
      <c r="X6" s="295">
        <v>0</v>
      </c>
      <c r="AA6" s="295">
        <f>X6</f>
        <v>0</v>
      </c>
      <c r="AD6" s="295">
        <f>AA6</f>
        <v>0</v>
      </c>
      <c r="AG6" s="295">
        <f>AD6</f>
        <v>0</v>
      </c>
      <c r="AJ6" s="186">
        <f t="shared" ref="AJ6" si="0">12000-SUM(C6:AG6)</f>
        <v>7860</v>
      </c>
      <c r="AK6" s="295">
        <f t="shared" ref="AK6:AK10" si="1">SUM(C6:AJ6)</f>
        <v>12000</v>
      </c>
      <c r="AL6" s="207" t="s">
        <v>276</v>
      </c>
    </row>
    <row r="7" spans="1:38" ht="15" x14ac:dyDescent="0.2">
      <c r="A7" s="165" t="s">
        <v>148</v>
      </c>
      <c r="B7" s="207" t="s">
        <v>277</v>
      </c>
      <c r="C7" s="295">
        <f>'[4]Hauser 12'!AM21</f>
        <v>53475</v>
      </c>
      <c r="I7" s="295">
        <v>0</v>
      </c>
      <c r="L7" s="295">
        <v>0</v>
      </c>
      <c r="O7" s="295">
        <v>0</v>
      </c>
      <c r="R7" s="295">
        <v>0</v>
      </c>
      <c r="S7" s="296"/>
      <c r="T7" s="296"/>
      <c r="U7" s="295">
        <v>0</v>
      </c>
      <c r="X7" s="295">
        <v>0</v>
      </c>
      <c r="AA7" s="295">
        <v>0</v>
      </c>
      <c r="AD7" s="295">
        <v>0</v>
      </c>
      <c r="AG7" s="295">
        <v>0</v>
      </c>
      <c r="AJ7" s="186">
        <f>250000-SUM(C7:AG7)</f>
        <v>196525</v>
      </c>
      <c r="AK7" s="295">
        <f t="shared" si="1"/>
        <v>250000</v>
      </c>
      <c r="AL7" s="207" t="s">
        <v>277</v>
      </c>
    </row>
    <row r="8" spans="1:38" ht="15" x14ac:dyDescent="0.2">
      <c r="A8" s="165" t="s">
        <v>149</v>
      </c>
      <c r="B8" t="s">
        <v>150</v>
      </c>
      <c r="C8" s="295">
        <v>0</v>
      </c>
      <c r="F8" s="295">
        <v>0</v>
      </c>
      <c r="I8" s="295">
        <v>0</v>
      </c>
      <c r="L8" s="295">
        <v>0</v>
      </c>
      <c r="O8" s="295">
        <v>0</v>
      </c>
      <c r="R8" s="295">
        <v>0</v>
      </c>
      <c r="S8" s="296"/>
      <c r="T8" s="296"/>
      <c r="U8" s="295">
        <v>0</v>
      </c>
      <c r="X8" s="295">
        <v>0</v>
      </c>
      <c r="AA8" s="295">
        <v>0</v>
      </c>
      <c r="AD8" s="295">
        <v>0</v>
      </c>
      <c r="AG8" s="295">
        <v>0</v>
      </c>
      <c r="AJ8" s="186">
        <f>SUM(Composite!D11:F11)-SUM(C8:AG8)</f>
        <v>155181</v>
      </c>
      <c r="AK8" s="295">
        <f t="shared" si="1"/>
        <v>155181</v>
      </c>
      <c r="AL8" t="s">
        <v>150</v>
      </c>
    </row>
    <row r="9" spans="1:38" s="298" customFormat="1" ht="15" x14ac:dyDescent="0.2">
      <c r="A9" s="297" t="s">
        <v>149</v>
      </c>
      <c r="B9" s="298" t="s">
        <v>151</v>
      </c>
      <c r="C9" s="299">
        <f>ROUND(-C8*0.4,2)</f>
        <v>0</v>
      </c>
      <c r="F9" s="299">
        <f>ROUND(-F8*0.4,2)</f>
        <v>0</v>
      </c>
      <c r="I9" s="299">
        <f t="shared" ref="I9" si="2">ROUND(-I8*0.4,2)</f>
        <v>0</v>
      </c>
      <c r="L9" s="299">
        <f t="shared" ref="L9" si="3">ROUND(-L8*0.4,2)</f>
        <v>0</v>
      </c>
      <c r="O9" s="299">
        <f t="shared" ref="O9" si="4">ROUND(-O8*0.4,2)</f>
        <v>0</v>
      </c>
      <c r="R9" s="299">
        <f t="shared" ref="R9" si="5">ROUND(-R8*0.4,2)</f>
        <v>0</v>
      </c>
      <c r="U9" s="299">
        <f t="shared" ref="U9" si="6">ROUND(-U8*0.4,2)</f>
        <v>0</v>
      </c>
      <c r="X9" s="299">
        <f t="shared" ref="X9" si="7">ROUND(-X8*0.4,2)</f>
        <v>0</v>
      </c>
      <c r="AA9" s="299">
        <f t="shared" ref="AA9" si="8">ROUND(-AA8*0.4,2)</f>
        <v>0</v>
      </c>
      <c r="AD9" s="299">
        <f t="shared" ref="AD9" si="9">ROUND(-AD8*0.4,2)</f>
        <v>0</v>
      </c>
      <c r="AG9" s="299">
        <f t="shared" ref="AG9" si="10">ROUND(-AG8*0.4,2)</f>
        <v>0</v>
      </c>
      <c r="AJ9" s="413">
        <f t="shared" ref="AJ9" si="11">ROUND(-AJ8*0.4,2)</f>
        <v>-62072.4</v>
      </c>
      <c r="AK9" s="299">
        <f t="shared" si="1"/>
        <v>-62072.4</v>
      </c>
      <c r="AL9" s="298" t="s">
        <v>151</v>
      </c>
    </row>
    <row r="10" spans="1:38" s="189" customFormat="1" x14ac:dyDescent="0.2">
      <c r="A10" s="150"/>
      <c r="B10" s="187" t="s">
        <v>152</v>
      </c>
      <c r="C10" s="167">
        <f>SUM(C6:C9)</f>
        <v>57615</v>
      </c>
      <c r="D10" s="149"/>
      <c r="E10" s="149"/>
      <c r="F10" s="167">
        <f>SUM(F6:F9)</f>
        <v>0</v>
      </c>
      <c r="G10" s="149"/>
      <c r="H10" s="149"/>
      <c r="I10" s="167">
        <f>SUM(I6:I9)</f>
        <v>0</v>
      </c>
      <c r="J10" s="149"/>
      <c r="K10" s="149"/>
      <c r="L10" s="167">
        <f>SUM(L6:L9)</f>
        <v>0</v>
      </c>
      <c r="M10" s="149"/>
      <c r="N10" s="149"/>
      <c r="O10" s="167">
        <f>SUM(O6:O9)</f>
        <v>0</v>
      </c>
      <c r="P10" s="149"/>
      <c r="Q10" s="149"/>
      <c r="R10" s="167">
        <f>SUM(R6:R9)</f>
        <v>0</v>
      </c>
      <c r="S10" s="149"/>
      <c r="T10" s="149"/>
      <c r="U10" s="167">
        <f>SUM(U6:U9)</f>
        <v>0</v>
      </c>
      <c r="V10" s="149"/>
      <c r="W10" s="149"/>
      <c r="X10" s="167">
        <f>SUM(X6:X9)</f>
        <v>0</v>
      </c>
      <c r="Y10" s="149"/>
      <c r="Z10" s="149"/>
      <c r="AA10" s="167">
        <f>SUM(AA6:AA9)</f>
        <v>0</v>
      </c>
      <c r="AB10" s="149"/>
      <c r="AC10" s="149"/>
      <c r="AD10" s="167">
        <f>SUM(AD6:AD9)</f>
        <v>0</v>
      </c>
      <c r="AE10" s="149"/>
      <c r="AF10" s="149"/>
      <c r="AG10" s="167">
        <f>SUM(AG6:AG9)</f>
        <v>0</v>
      </c>
      <c r="AH10" s="149"/>
      <c r="AI10" s="149"/>
      <c r="AJ10" s="206">
        <f>SUM(AJ6:AJ9)</f>
        <v>297493.59999999998</v>
      </c>
      <c r="AK10" s="167">
        <f t="shared" si="1"/>
        <v>355108.6</v>
      </c>
      <c r="AL10" s="187" t="s">
        <v>152</v>
      </c>
    </row>
    <row r="11" spans="1:38" ht="6" customHeight="1" x14ac:dyDescent="0.2">
      <c r="B11" s="151"/>
      <c r="C11" s="156"/>
      <c r="D11" s="155"/>
      <c r="E11" s="155"/>
      <c r="F11" s="156"/>
      <c r="G11" s="155"/>
      <c r="H11" s="155"/>
      <c r="I11" s="156"/>
      <c r="J11" s="155"/>
      <c r="K11" s="155"/>
      <c r="L11" s="156"/>
      <c r="M11" s="155"/>
      <c r="N11" s="155"/>
      <c r="O11" s="156"/>
      <c r="P11" s="155"/>
      <c r="Q11" s="155"/>
      <c r="R11" s="156"/>
      <c r="S11" s="170"/>
      <c r="T11" s="170"/>
      <c r="U11" s="156"/>
      <c r="V11" s="155"/>
      <c r="W11" s="155"/>
      <c r="X11" s="156"/>
      <c r="Y11" s="155"/>
      <c r="Z11" s="155"/>
      <c r="AA11" s="156"/>
      <c r="AB11" s="155"/>
      <c r="AC11" s="155"/>
      <c r="AD11" s="156"/>
      <c r="AE11" s="155"/>
      <c r="AF11" s="155"/>
      <c r="AG11" s="156"/>
      <c r="AH11" s="155"/>
      <c r="AI11" s="155"/>
      <c r="AJ11" s="186"/>
      <c r="AK11" s="156"/>
      <c r="AL11" s="151"/>
    </row>
    <row r="12" spans="1:38" ht="6" customHeight="1" x14ac:dyDescent="0.2">
      <c r="B12" s="151"/>
      <c r="C12" s="156"/>
      <c r="D12" s="155"/>
      <c r="E12" s="155"/>
      <c r="F12" s="156"/>
      <c r="G12" s="155"/>
      <c r="H12" s="155"/>
      <c r="I12" s="156"/>
      <c r="J12" s="155"/>
      <c r="K12" s="155"/>
      <c r="L12" s="156"/>
      <c r="M12" s="155"/>
      <c r="N12" s="155"/>
      <c r="O12" s="156"/>
      <c r="P12" s="155"/>
      <c r="Q12" s="155"/>
      <c r="R12" s="156"/>
      <c r="S12" s="170"/>
      <c r="T12" s="170"/>
      <c r="U12" s="156"/>
      <c r="V12" s="155"/>
      <c r="W12" s="155"/>
      <c r="X12" s="156"/>
      <c r="Y12" s="155"/>
      <c r="Z12" s="155"/>
      <c r="AA12" s="156"/>
      <c r="AB12" s="155"/>
      <c r="AC12" s="155"/>
      <c r="AD12" s="156"/>
      <c r="AE12" s="155"/>
      <c r="AF12" s="155"/>
      <c r="AG12" s="156"/>
      <c r="AH12" s="155"/>
      <c r="AI12" s="155"/>
      <c r="AJ12" s="186"/>
      <c r="AK12" s="156"/>
      <c r="AL12" s="151"/>
    </row>
    <row r="13" spans="1:38" ht="15.75" x14ac:dyDescent="0.25">
      <c r="A13" s="162" t="s">
        <v>94</v>
      </c>
      <c r="B13" s="155"/>
      <c r="C13" s="156"/>
      <c r="D13" s="155"/>
      <c r="E13" s="155"/>
      <c r="F13" s="156"/>
      <c r="G13" s="155"/>
      <c r="H13" s="155"/>
      <c r="I13" s="156"/>
      <c r="J13" s="155"/>
      <c r="K13" s="155"/>
      <c r="L13" s="156"/>
      <c r="M13" s="155"/>
      <c r="N13" s="155"/>
      <c r="O13" s="156"/>
      <c r="P13" s="155"/>
      <c r="Q13" s="155"/>
      <c r="R13" s="156"/>
      <c r="S13" s="170"/>
      <c r="T13" s="170"/>
      <c r="U13" s="156"/>
      <c r="V13" s="155"/>
      <c r="W13" s="155"/>
      <c r="X13" s="156"/>
      <c r="Y13" s="155"/>
      <c r="Z13" s="155"/>
      <c r="AA13" s="156"/>
      <c r="AB13" s="155"/>
      <c r="AC13" s="155"/>
      <c r="AD13" s="156"/>
      <c r="AE13" s="155"/>
      <c r="AF13" s="155"/>
      <c r="AG13" s="156"/>
      <c r="AH13" s="155"/>
      <c r="AI13" s="155"/>
      <c r="AJ13" s="414"/>
      <c r="AK13" s="302"/>
      <c r="AL13" s="155"/>
    </row>
    <row r="14" spans="1:38" x14ac:dyDescent="0.2">
      <c r="A14" s="303"/>
      <c r="B14" s="155"/>
      <c r="C14" s="156"/>
      <c r="D14" s="155"/>
      <c r="E14" s="155"/>
      <c r="F14" s="156"/>
      <c r="G14" s="155"/>
      <c r="H14" s="155"/>
      <c r="I14" s="156"/>
      <c r="J14" s="155"/>
      <c r="K14" s="155"/>
      <c r="L14" s="156"/>
      <c r="M14" s="155"/>
      <c r="N14" s="155"/>
      <c r="O14" s="156"/>
      <c r="P14" s="155"/>
      <c r="Q14" s="155"/>
      <c r="R14" s="156"/>
      <c r="S14" s="170"/>
      <c r="T14" s="170"/>
      <c r="U14" s="156"/>
      <c r="V14" s="155"/>
      <c r="W14" s="155"/>
      <c r="X14" s="156"/>
      <c r="Y14" s="155"/>
      <c r="Z14" s="155"/>
      <c r="AA14" s="156"/>
      <c r="AB14" s="155"/>
      <c r="AC14" s="155"/>
      <c r="AD14" s="156"/>
      <c r="AE14" s="155"/>
      <c r="AF14" s="155"/>
      <c r="AG14" s="156"/>
      <c r="AH14" s="155"/>
      <c r="AI14" s="155"/>
      <c r="AJ14" s="414" t="s">
        <v>153</v>
      </c>
      <c r="AK14" s="302">
        <f>AK10-SUM(AK8:AK9)</f>
        <v>261999.99999999997</v>
      </c>
      <c r="AL14" s="155"/>
    </row>
    <row r="15" spans="1:38" s="155" customFormat="1" x14ac:dyDescent="0.2">
      <c r="A15" s="304" t="s">
        <v>95</v>
      </c>
      <c r="B15" s="149"/>
      <c r="C15" s="156"/>
      <c r="F15" s="156"/>
      <c r="I15" s="156"/>
      <c r="L15" s="156"/>
      <c r="O15" s="156"/>
      <c r="R15" s="156"/>
      <c r="S15" s="170"/>
      <c r="T15" s="170"/>
      <c r="U15" s="156"/>
      <c r="X15" s="156"/>
      <c r="AA15" s="156"/>
      <c r="AD15" s="156"/>
      <c r="AG15" s="156"/>
      <c r="AJ15" s="186"/>
      <c r="AK15" s="156"/>
      <c r="AL15" s="149"/>
    </row>
    <row r="16" spans="1:38" s="174" customFormat="1" x14ac:dyDescent="0.2">
      <c r="A16" s="178" t="s">
        <v>154</v>
      </c>
      <c r="B16" s="174" t="s">
        <v>262</v>
      </c>
      <c r="C16" s="179">
        <f>'Chair FY11'!F16</f>
        <v>4613.2799999999988</v>
      </c>
      <c r="D16" s="179"/>
      <c r="E16" s="179"/>
      <c r="F16" s="179">
        <f>'Chair FY11'!J16</f>
        <v>5804.91</v>
      </c>
      <c r="G16" s="179"/>
      <c r="H16" s="179"/>
      <c r="I16" s="179">
        <f>'Chair FY11'!N16</f>
        <v>5804.91</v>
      </c>
      <c r="J16" s="179"/>
      <c r="K16" s="179"/>
      <c r="L16" s="378">
        <f>'Chair FY11'!S16</f>
        <v>5804.91</v>
      </c>
      <c r="M16" s="179"/>
      <c r="N16" s="179"/>
      <c r="O16" s="179">
        <f>'Chair FY11'!W16</f>
        <v>5804.91</v>
      </c>
      <c r="P16" s="179"/>
      <c r="Q16" s="179"/>
      <c r="R16" s="179">
        <f>'Chair FY11'!AA16</f>
        <v>5804.91</v>
      </c>
      <c r="S16" s="179"/>
      <c r="T16" s="179"/>
      <c r="U16" s="378">
        <f>'Chair FY11'!AF16</f>
        <v>5804.91</v>
      </c>
      <c r="V16" s="179"/>
      <c r="W16" s="179"/>
      <c r="X16" s="179">
        <f>'Chair FY11'!AJ16</f>
        <v>5804.91</v>
      </c>
      <c r="Y16" s="179"/>
      <c r="Z16" s="179"/>
      <c r="AA16" s="179">
        <f>'Chair FY11'!AN16</f>
        <v>5804.91</v>
      </c>
      <c r="AB16" s="179"/>
      <c r="AC16" s="179"/>
      <c r="AD16" s="179">
        <f>'Chair FY11'!AS16</f>
        <v>5804.91</v>
      </c>
      <c r="AE16" s="179"/>
      <c r="AF16" s="179"/>
      <c r="AG16" s="179">
        <f>'Chair FY11'!AW16</f>
        <v>5804.91</v>
      </c>
      <c r="AH16" s="179"/>
      <c r="AI16" s="179"/>
      <c r="AJ16" s="415">
        <f>'Chair FY11'!BA16</f>
        <v>5804.91</v>
      </c>
      <c r="AK16" s="179">
        <f t="shared" ref="AK16:AK19" si="12">SUM(C16:AJ16)</f>
        <v>68467.290000000023</v>
      </c>
      <c r="AL16" s="174" t="s">
        <v>262</v>
      </c>
    </row>
    <row r="17" spans="1:38" s="306" customFormat="1" x14ac:dyDescent="0.2">
      <c r="A17" s="177" t="s">
        <v>155</v>
      </c>
      <c r="B17" s="176" t="str">
        <f>'Staff Salary Dist'!A4</f>
        <v>Paul Programmer</v>
      </c>
      <c r="C17" s="180">
        <f>'Staff Salary Dist'!E8</f>
        <v>1163.3399999999999</v>
      </c>
      <c r="D17" s="305"/>
      <c r="E17" s="305"/>
      <c r="F17" s="180">
        <f>'Staff Salary Dist'!H8</f>
        <v>1163.3399999999999</v>
      </c>
      <c r="G17" s="305"/>
      <c r="H17" s="305"/>
      <c r="I17" s="180">
        <f>'Staff Salary Dist'!K8</f>
        <v>1163.3399999999999</v>
      </c>
      <c r="J17" s="305"/>
      <c r="K17" s="305"/>
      <c r="L17" s="180">
        <f>'Staff Salary Dist'!N8</f>
        <v>1163.3399999999999</v>
      </c>
      <c r="M17" s="305"/>
      <c r="N17" s="305"/>
      <c r="O17" s="180">
        <f>'Staff Salary Dist'!Q8</f>
        <v>1163.3399999999999</v>
      </c>
      <c r="P17" s="305"/>
      <c r="Q17" s="305"/>
      <c r="R17" s="180">
        <f>'Staff Salary Dist'!T8</f>
        <v>1163.3399999999999</v>
      </c>
      <c r="S17" s="305"/>
      <c r="T17" s="305"/>
      <c r="U17" s="180">
        <f>'Staff Salary Dist'!W8</f>
        <v>1163.3399999999999</v>
      </c>
      <c r="V17" s="305"/>
      <c r="W17" s="305"/>
      <c r="X17" s="180">
        <f>'Staff Salary Dist'!Z8</f>
        <v>1163.3399999999999</v>
      </c>
      <c r="Y17" s="305"/>
      <c r="Z17" s="305"/>
      <c r="AA17" s="180">
        <f>'Staff Salary Dist'!AC8</f>
        <v>1163.3399999999999</v>
      </c>
      <c r="AB17" s="305"/>
      <c r="AC17" s="305"/>
      <c r="AD17" s="180">
        <f>'Staff Salary Dist'!AF8</f>
        <v>1163.3399999999999</v>
      </c>
      <c r="AE17" s="305"/>
      <c r="AF17" s="305"/>
      <c r="AG17" s="180">
        <f>'Staff Salary Dist'!AI8</f>
        <v>1163.3399999999999</v>
      </c>
      <c r="AH17" s="305"/>
      <c r="AI17" s="305"/>
      <c r="AJ17" s="416">
        <f>'Staff Salary Dist'!AL8</f>
        <v>1163.3399999999999</v>
      </c>
      <c r="AK17" s="180">
        <f>SUM(C17:AJ17)</f>
        <v>13960.08</v>
      </c>
      <c r="AL17" s="176" t="s">
        <v>132</v>
      </c>
    </row>
    <row r="18" spans="1:38" s="176" customFormat="1" x14ac:dyDescent="0.2">
      <c r="A18" s="177" t="s">
        <v>156</v>
      </c>
      <c r="B18" s="176" t="str">
        <f>'Staff Salary Dist'!A22</f>
        <v>Annie Administrator</v>
      </c>
      <c r="C18" s="180">
        <f>'Staff Salary Dist'!E24</f>
        <v>856.08</v>
      </c>
      <c r="D18" s="180"/>
      <c r="E18" s="180"/>
      <c r="F18" s="180">
        <f>'Staff Salary Dist'!H24</f>
        <v>1317.05</v>
      </c>
      <c r="G18" s="180"/>
      <c r="H18" s="180"/>
      <c r="I18" s="180">
        <f>'Staff Salary Dist'!K24</f>
        <v>1317.05</v>
      </c>
      <c r="J18" s="180"/>
      <c r="K18" s="180"/>
      <c r="L18" s="180">
        <f>'Staff Salary Dist'!N24</f>
        <v>1975.57</v>
      </c>
      <c r="M18" s="180"/>
      <c r="N18" s="180"/>
      <c r="O18" s="180">
        <f>'Staff Salary Dist'!Q24</f>
        <v>1317.05</v>
      </c>
      <c r="P18" s="180"/>
      <c r="Q18" s="180"/>
      <c r="R18" s="180">
        <f>'Staff Salary Dist'!T24</f>
        <v>1317.05</v>
      </c>
      <c r="S18" s="180"/>
      <c r="T18" s="180"/>
      <c r="U18" s="180">
        <f>'Staff Salary Dist'!W24</f>
        <v>1317.05</v>
      </c>
      <c r="V18" s="180"/>
      <c r="W18" s="180"/>
      <c r="X18" s="180">
        <f>'Staff Salary Dist'!Z24</f>
        <v>1317.05</v>
      </c>
      <c r="Y18" s="180"/>
      <c r="Z18" s="180"/>
      <c r="AA18" s="180">
        <f>'Staff Salary Dist'!AC24</f>
        <v>1317.05</v>
      </c>
      <c r="AB18" s="180"/>
      <c r="AC18" s="180"/>
      <c r="AD18" s="180">
        <f>'Staff Salary Dist'!AF24</f>
        <v>1975.57</v>
      </c>
      <c r="AE18" s="180"/>
      <c r="AF18" s="180"/>
      <c r="AG18" s="180">
        <f>'Staff Salary Dist'!AI24</f>
        <v>1317.05</v>
      </c>
      <c r="AH18" s="180"/>
      <c r="AI18" s="180"/>
      <c r="AJ18" s="416">
        <f>'Staff Salary Dist'!AL24</f>
        <v>1975.57</v>
      </c>
      <c r="AK18" s="180">
        <f t="shared" si="12"/>
        <v>17319.189999999999</v>
      </c>
      <c r="AL18" s="176" t="s">
        <v>214</v>
      </c>
    </row>
    <row r="19" spans="1:38" s="288" customFormat="1" x14ac:dyDescent="0.2">
      <c r="A19" s="307" t="s">
        <v>157</v>
      </c>
      <c r="B19" s="288" t="s">
        <v>158</v>
      </c>
      <c r="C19" s="308">
        <f>'Staff Salary Dist'!E26</f>
        <v>3500</v>
      </c>
      <c r="D19" s="308"/>
      <c r="E19" s="308"/>
      <c r="F19" s="308">
        <f>'Staff Salary Dist'!H26</f>
        <v>0</v>
      </c>
      <c r="G19" s="308"/>
      <c r="H19" s="308"/>
      <c r="I19" s="308">
        <f>'Staff Salary Dist'!K26</f>
        <v>0</v>
      </c>
      <c r="J19" s="308"/>
      <c r="K19" s="308"/>
      <c r="L19" s="308">
        <f>'Staff Salary Dist'!N26</f>
        <v>0</v>
      </c>
      <c r="M19" s="308"/>
      <c r="N19" s="308"/>
      <c r="O19" s="308">
        <f>'Staff Salary Dist'!Q26</f>
        <v>0</v>
      </c>
      <c r="P19" s="308"/>
      <c r="Q19" s="308"/>
      <c r="R19" s="308">
        <f>'Staff Salary Dist'!T26</f>
        <v>0</v>
      </c>
      <c r="S19" s="308"/>
      <c r="T19" s="308"/>
      <c r="U19" s="308">
        <f>'Staff Salary Dist'!W26</f>
        <v>0</v>
      </c>
      <c r="V19" s="308"/>
      <c r="W19" s="308"/>
      <c r="X19" s="308">
        <f>'Staff Salary Dist'!Z26</f>
        <v>0</v>
      </c>
      <c r="Y19" s="308"/>
      <c r="Z19" s="308"/>
      <c r="AA19" s="308">
        <f>'Staff Salary Dist'!AC26</f>
        <v>0</v>
      </c>
      <c r="AB19" s="308"/>
      <c r="AC19" s="308"/>
      <c r="AD19" s="308">
        <f>'Staff Salary Dist'!AF26</f>
        <v>0</v>
      </c>
      <c r="AE19" s="308"/>
      <c r="AF19" s="308"/>
      <c r="AG19" s="308">
        <f>'Staff Salary Dist'!AI26</f>
        <v>0</v>
      </c>
      <c r="AH19" s="308"/>
      <c r="AI19" s="308"/>
      <c r="AJ19" s="417">
        <f>'Staff Salary Dist'!AL26</f>
        <v>0</v>
      </c>
      <c r="AK19" s="308">
        <f t="shared" si="12"/>
        <v>3500</v>
      </c>
      <c r="AL19" s="288" t="s">
        <v>158</v>
      </c>
    </row>
    <row r="20" spans="1:38" x14ac:dyDescent="0.2">
      <c r="AJ20" s="418"/>
    </row>
    <row r="21" spans="1:38" ht="6" customHeight="1" x14ac:dyDescent="0.2">
      <c r="B21" s="151"/>
      <c r="C21" s="156"/>
      <c r="D21" s="155"/>
      <c r="E21" s="155"/>
      <c r="F21" s="156"/>
      <c r="G21" s="155"/>
      <c r="H21" s="155"/>
      <c r="I21" s="156"/>
      <c r="J21" s="155"/>
      <c r="K21" s="155"/>
      <c r="L21" s="156"/>
      <c r="M21" s="155"/>
      <c r="N21" s="155"/>
      <c r="O21" s="156"/>
      <c r="P21" s="155"/>
      <c r="Q21" s="155"/>
      <c r="R21" s="156"/>
      <c r="S21" s="170"/>
      <c r="T21" s="170"/>
      <c r="U21" s="156"/>
      <c r="V21" s="155"/>
      <c r="W21" s="155"/>
      <c r="X21" s="156"/>
      <c r="Y21" s="155"/>
      <c r="Z21" s="155"/>
      <c r="AA21" s="156"/>
      <c r="AB21" s="155"/>
      <c r="AC21" s="155"/>
      <c r="AD21" s="156"/>
      <c r="AE21" s="155"/>
      <c r="AF21" s="155"/>
      <c r="AG21" s="156"/>
      <c r="AH21" s="155"/>
      <c r="AI21" s="155"/>
      <c r="AJ21" s="186"/>
      <c r="AK21" s="156"/>
      <c r="AL21" s="151"/>
    </row>
    <row r="22" spans="1:38" s="174" customFormat="1" x14ac:dyDescent="0.2">
      <c r="B22" s="309" t="s">
        <v>97</v>
      </c>
      <c r="C22" s="179">
        <f>SUM(C16:C16)</f>
        <v>4613.2799999999988</v>
      </c>
      <c r="D22" s="179"/>
      <c r="E22" s="179"/>
      <c r="F22" s="179">
        <f>SUM(F16:F16)</f>
        <v>5804.91</v>
      </c>
      <c r="G22" s="179"/>
      <c r="H22" s="179"/>
      <c r="I22" s="179">
        <f>SUM(I16:I16)</f>
        <v>5804.91</v>
      </c>
      <c r="J22" s="179"/>
      <c r="K22" s="179"/>
      <c r="L22" s="179">
        <f>SUM(L16:L16)</f>
        <v>5804.91</v>
      </c>
      <c r="M22" s="179"/>
      <c r="N22" s="179"/>
      <c r="O22" s="179">
        <f>SUM(O16:O16)</f>
        <v>5804.91</v>
      </c>
      <c r="P22" s="179"/>
      <c r="Q22" s="179"/>
      <c r="R22" s="179">
        <f>SUM(R16:R16)</f>
        <v>5804.91</v>
      </c>
      <c r="S22" s="179"/>
      <c r="T22" s="179"/>
      <c r="U22" s="179">
        <f>SUM(U16:U16)</f>
        <v>5804.91</v>
      </c>
      <c r="V22" s="179"/>
      <c r="W22" s="179"/>
      <c r="X22" s="179">
        <f>SUM(X16:X16)</f>
        <v>5804.91</v>
      </c>
      <c r="Y22" s="179"/>
      <c r="Z22" s="179"/>
      <c r="AA22" s="179">
        <f>SUM(AA16:AA16)</f>
        <v>5804.91</v>
      </c>
      <c r="AB22" s="179"/>
      <c r="AC22" s="179"/>
      <c r="AD22" s="179">
        <f>SUM(AD16:AD16)</f>
        <v>5804.91</v>
      </c>
      <c r="AE22" s="179"/>
      <c r="AF22" s="179"/>
      <c r="AG22" s="179">
        <f>SUM(AG16:AG16)</f>
        <v>5804.91</v>
      </c>
      <c r="AH22" s="179"/>
      <c r="AI22" s="179"/>
      <c r="AJ22" s="415">
        <f>SUM(AJ16:AJ16)</f>
        <v>5804.91</v>
      </c>
      <c r="AK22" s="179">
        <f>SUM(C22:AJ22)</f>
        <v>68467.290000000023</v>
      </c>
      <c r="AL22" s="309" t="s">
        <v>97</v>
      </c>
    </row>
    <row r="23" spans="1:38" s="176" customFormat="1" x14ac:dyDescent="0.2">
      <c r="B23" s="311" t="s">
        <v>98</v>
      </c>
      <c r="C23" s="180">
        <f>SUM(C17:C21)</f>
        <v>5519.42</v>
      </c>
      <c r="D23" s="180"/>
      <c r="E23" s="180"/>
      <c r="F23" s="180">
        <f>SUM(F17:F21)</f>
        <v>2480.39</v>
      </c>
      <c r="G23" s="180"/>
      <c r="H23" s="180"/>
      <c r="I23" s="180">
        <f>SUM(I17:I21)</f>
        <v>2480.39</v>
      </c>
      <c r="J23" s="180"/>
      <c r="K23" s="180"/>
      <c r="L23" s="180">
        <f>SUM(L17:L21)</f>
        <v>3138.91</v>
      </c>
      <c r="M23" s="180"/>
      <c r="N23" s="180"/>
      <c r="O23" s="180">
        <f>SUM(O17:O21)</f>
        <v>2480.39</v>
      </c>
      <c r="P23" s="180"/>
      <c r="Q23" s="180"/>
      <c r="R23" s="180">
        <f>SUM(R17:R21)</f>
        <v>2480.39</v>
      </c>
      <c r="S23" s="180"/>
      <c r="T23" s="180"/>
      <c r="U23" s="180">
        <f>SUM(U17:U21)</f>
        <v>2480.39</v>
      </c>
      <c r="V23" s="180"/>
      <c r="W23" s="180"/>
      <c r="X23" s="180">
        <f>SUM(X17:X21)</f>
        <v>2480.39</v>
      </c>
      <c r="Y23" s="180"/>
      <c r="Z23" s="180"/>
      <c r="AA23" s="180">
        <f>SUM(AA17:AA21)</f>
        <v>2480.39</v>
      </c>
      <c r="AB23" s="180"/>
      <c r="AC23" s="180"/>
      <c r="AD23" s="180">
        <f>SUM(AD17:AD21)</f>
        <v>3138.91</v>
      </c>
      <c r="AE23" s="180"/>
      <c r="AF23" s="180"/>
      <c r="AG23" s="180">
        <f>SUM(AG17:AG21)</f>
        <v>2480.39</v>
      </c>
      <c r="AH23" s="180"/>
      <c r="AI23" s="180"/>
      <c r="AJ23" s="416">
        <f>SUM(AJ17:AJ21)</f>
        <v>3138.91</v>
      </c>
      <c r="AK23" s="180">
        <f>SUM(C23:AJ23)</f>
        <v>34779.269999999997</v>
      </c>
      <c r="AL23" s="311" t="s">
        <v>98</v>
      </c>
    </row>
    <row r="24" spans="1:38" s="155" customFormat="1" x14ac:dyDescent="0.2">
      <c r="B24" s="146" t="s">
        <v>159</v>
      </c>
      <c r="C24" s="181">
        <f>ROUND((SUM(C22:C23)-C19)*0.27+(C19*0.069),2)</f>
        <v>2032.33</v>
      </c>
      <c r="D24" s="181"/>
      <c r="E24" s="181"/>
      <c r="F24" s="181">
        <f>ROUND((SUM(F22:F23)-F19)*0.27+(F19*0.069),2)</f>
        <v>2237.0300000000002</v>
      </c>
      <c r="G24" s="181"/>
      <c r="H24" s="181"/>
      <c r="I24" s="181">
        <f t="shared" ref="I24" si="13">ROUND((SUM(I22:I23)-I19)*0.27+(I19*0.069),2)</f>
        <v>2237.0300000000002</v>
      </c>
      <c r="J24" s="181"/>
      <c r="K24" s="181"/>
      <c r="L24" s="181">
        <f t="shared" ref="L24" si="14">ROUND((SUM(L22:L23)-L19)*0.27+(L19*0.069),2)</f>
        <v>2414.83</v>
      </c>
      <c r="M24" s="181"/>
      <c r="N24" s="181"/>
      <c r="O24" s="181">
        <f t="shared" ref="O24" si="15">ROUND((SUM(O22:O23)-O19)*0.27+(O19*0.069),2)</f>
        <v>2237.0300000000002</v>
      </c>
      <c r="P24" s="181"/>
      <c r="Q24" s="181"/>
      <c r="R24" s="181">
        <f t="shared" ref="R24" si="16">ROUND((SUM(R22:R23)-R19)*0.27+(R19*0.069),2)</f>
        <v>2237.0300000000002</v>
      </c>
      <c r="S24" s="181"/>
      <c r="T24" s="181"/>
      <c r="U24" s="181">
        <f t="shared" ref="U24" si="17">ROUND((SUM(U22:U23)-U19)*0.27+(U19*0.069),2)</f>
        <v>2237.0300000000002</v>
      </c>
      <c r="V24" s="181"/>
      <c r="W24" s="181"/>
      <c r="X24" s="181">
        <f t="shared" ref="X24" si="18">ROUND((SUM(X22:X23)-X19)*0.27+(X19*0.069),2)</f>
        <v>2237.0300000000002</v>
      </c>
      <c r="Y24" s="181"/>
      <c r="Z24" s="181"/>
      <c r="AA24" s="181">
        <f t="shared" ref="AA24" si="19">ROUND((SUM(AA22:AA23)-AA19)*0.27+(AA19*0.069),2)</f>
        <v>2237.0300000000002</v>
      </c>
      <c r="AB24" s="181"/>
      <c r="AC24" s="181"/>
      <c r="AD24" s="181">
        <f t="shared" ref="AD24" si="20">ROUND((SUM(AD22:AD23)-AD19)*0.27+(AD19*0.069),2)</f>
        <v>2414.83</v>
      </c>
      <c r="AE24" s="181"/>
      <c r="AF24" s="181"/>
      <c r="AG24" s="181">
        <f t="shared" ref="AG24" si="21">ROUND((SUM(AG22:AG23)-AG19)*0.27+(AG19*0.069),2)</f>
        <v>2237.0300000000002</v>
      </c>
      <c r="AH24" s="181"/>
      <c r="AI24" s="181"/>
      <c r="AJ24" s="419">
        <f t="shared" ref="AJ24" si="22">ROUND((SUM(AJ22:AJ23)-AJ19)*0.27+(AJ19*0.069),2)</f>
        <v>2414.83</v>
      </c>
      <c r="AK24" s="181">
        <f>SUM(C24:AJ24)</f>
        <v>27173.060000000005</v>
      </c>
      <c r="AL24" s="146" t="s">
        <v>159</v>
      </c>
    </row>
    <row r="25" spans="1:38" s="155" customFormat="1" x14ac:dyDescent="0.2">
      <c r="B25" s="146" t="s">
        <v>160</v>
      </c>
      <c r="C25" s="166">
        <f>SUM(C22:C24)</f>
        <v>12165.029999999999</v>
      </c>
      <c r="D25" s="166"/>
      <c r="E25" s="166"/>
      <c r="F25" s="166">
        <f>SUM(F22:F24)</f>
        <v>10522.33</v>
      </c>
      <c r="G25" s="166"/>
      <c r="H25" s="166"/>
      <c r="I25" s="166">
        <f>SUM(I22:I24)</f>
        <v>10522.33</v>
      </c>
      <c r="J25" s="166"/>
      <c r="K25" s="166"/>
      <c r="L25" s="166">
        <f>SUM(L22:L24)</f>
        <v>11358.65</v>
      </c>
      <c r="M25" s="166"/>
      <c r="N25" s="166"/>
      <c r="O25" s="166">
        <f>SUM(O22:O24)</f>
        <v>10522.33</v>
      </c>
      <c r="P25" s="166"/>
      <c r="Q25" s="166"/>
      <c r="R25" s="166">
        <f>SUM(R22:R24)</f>
        <v>10522.33</v>
      </c>
      <c r="S25" s="166"/>
      <c r="T25" s="166"/>
      <c r="U25" s="166">
        <f>SUM(U22:U24)</f>
        <v>10522.33</v>
      </c>
      <c r="V25" s="166"/>
      <c r="W25" s="166"/>
      <c r="X25" s="166">
        <f>SUM(X22:X24)</f>
        <v>10522.33</v>
      </c>
      <c r="Y25" s="166"/>
      <c r="Z25" s="166"/>
      <c r="AA25" s="166">
        <f>SUM(AA22:AA24)</f>
        <v>10522.33</v>
      </c>
      <c r="AB25" s="166"/>
      <c r="AC25" s="166"/>
      <c r="AD25" s="166">
        <f>SUM(AD22:AD24)</f>
        <v>11358.65</v>
      </c>
      <c r="AE25" s="166"/>
      <c r="AF25" s="166"/>
      <c r="AG25" s="166">
        <f>SUM(AG22:AG24)</f>
        <v>10522.33</v>
      </c>
      <c r="AH25" s="166"/>
      <c r="AI25" s="166"/>
      <c r="AJ25" s="420">
        <f>SUM(AJ22:AJ24)</f>
        <v>11358.65</v>
      </c>
      <c r="AK25" s="166">
        <f>SUM(C25:AJ25)</f>
        <v>130419.62</v>
      </c>
      <c r="AL25" s="146" t="s">
        <v>160</v>
      </c>
    </row>
    <row r="26" spans="1:38" ht="6" customHeight="1" x14ac:dyDescent="0.2">
      <c r="B26" s="151"/>
      <c r="C26" s="156"/>
      <c r="D26" s="155"/>
      <c r="E26" s="155"/>
      <c r="F26" s="156"/>
      <c r="G26" s="155"/>
      <c r="H26" s="155"/>
      <c r="I26" s="156"/>
      <c r="J26" s="155"/>
      <c r="K26" s="155"/>
      <c r="L26" s="156"/>
      <c r="M26" s="155"/>
      <c r="N26" s="155"/>
      <c r="O26" s="156"/>
      <c r="P26" s="155"/>
      <c r="Q26" s="155"/>
      <c r="R26" s="156"/>
      <c r="S26" s="170"/>
      <c r="T26" s="170"/>
      <c r="U26" s="156"/>
      <c r="V26" s="155"/>
      <c r="W26" s="155"/>
      <c r="X26" s="156"/>
      <c r="Y26" s="155"/>
      <c r="Z26" s="155"/>
      <c r="AA26" s="156"/>
      <c r="AB26" s="155"/>
      <c r="AC26" s="155"/>
      <c r="AD26" s="156"/>
      <c r="AE26" s="155"/>
      <c r="AF26" s="155"/>
      <c r="AG26" s="156"/>
      <c r="AH26" s="155"/>
      <c r="AI26" s="155"/>
      <c r="AJ26" s="186"/>
      <c r="AK26" s="156"/>
      <c r="AL26" s="151"/>
    </row>
    <row r="27" spans="1:38" s="155" customFormat="1" x14ac:dyDescent="0.2">
      <c r="A27" s="304" t="s">
        <v>100</v>
      </c>
      <c r="B27"/>
      <c r="C27" s="183"/>
      <c r="D27" s="166"/>
      <c r="E27" s="166"/>
      <c r="F27" s="183"/>
      <c r="G27" s="166"/>
      <c r="H27" s="166"/>
      <c r="I27" s="183"/>
      <c r="J27" s="166"/>
      <c r="K27" s="166"/>
      <c r="L27" s="183"/>
      <c r="M27" s="166"/>
      <c r="N27" s="166"/>
      <c r="O27" s="183"/>
      <c r="P27" s="166"/>
      <c r="Q27" s="166"/>
      <c r="R27" s="183"/>
      <c r="S27" s="168"/>
      <c r="T27" s="168"/>
      <c r="U27" s="183"/>
      <c r="V27" s="166"/>
      <c r="W27" s="166"/>
      <c r="X27" s="183"/>
      <c r="Y27" s="166"/>
      <c r="Z27" s="166"/>
      <c r="AA27" s="183"/>
      <c r="AB27" s="166"/>
      <c r="AC27" s="166"/>
      <c r="AD27" s="183"/>
      <c r="AE27" s="166"/>
      <c r="AF27" s="166"/>
      <c r="AG27" s="183"/>
      <c r="AH27" s="166"/>
      <c r="AI27" s="166"/>
      <c r="AJ27" s="421"/>
      <c r="AK27" s="183"/>
      <c r="AL27"/>
    </row>
    <row r="28" spans="1:38" s="155" customFormat="1" x14ac:dyDescent="0.2">
      <c r="A28" s="146" t="s">
        <v>161</v>
      </c>
      <c r="B28" s="146" t="s">
        <v>162</v>
      </c>
      <c r="C28" s="156">
        <v>868.19</v>
      </c>
      <c r="F28" s="156">
        <v>672.42</v>
      </c>
      <c r="I28" s="156">
        <v>0</v>
      </c>
      <c r="L28" s="156">
        <v>0</v>
      </c>
      <c r="O28" s="156">
        <v>0</v>
      </c>
      <c r="R28" s="156">
        <v>0</v>
      </c>
      <c r="U28" s="156">
        <v>0</v>
      </c>
      <c r="X28" s="156">
        <v>0</v>
      </c>
      <c r="AA28" s="156">
        <v>0</v>
      </c>
      <c r="AD28" s="156">
        <v>0</v>
      </c>
      <c r="AG28" s="156">
        <v>0</v>
      </c>
      <c r="AJ28" s="186">
        <f>12000-SUM(C28:AG28)</f>
        <v>10459.39</v>
      </c>
      <c r="AK28" s="156">
        <f t="shared" ref="AK28:AK38" si="23">SUM(C28:AJ28)</f>
        <v>12000</v>
      </c>
      <c r="AL28" s="146" t="s">
        <v>162</v>
      </c>
    </row>
    <row r="29" spans="1:38" s="155" customFormat="1" x14ac:dyDescent="0.2">
      <c r="A29" s="146" t="s">
        <v>163</v>
      </c>
      <c r="B29" s="146" t="s">
        <v>164</v>
      </c>
      <c r="C29" s="156">
        <v>179.6</v>
      </c>
      <c r="F29" s="156">
        <v>0</v>
      </c>
      <c r="I29" s="156">
        <v>0</v>
      </c>
      <c r="L29" s="156">
        <v>0</v>
      </c>
      <c r="O29" s="156">
        <v>0</v>
      </c>
      <c r="R29" s="156">
        <v>0</v>
      </c>
      <c r="U29" s="156">
        <v>0</v>
      </c>
      <c r="X29" s="156">
        <v>0</v>
      </c>
      <c r="AA29" s="156">
        <v>0</v>
      </c>
      <c r="AD29" s="156">
        <v>0</v>
      </c>
      <c r="AG29" s="156">
        <v>0</v>
      </c>
      <c r="AJ29" s="186">
        <f>5000-SUM(C29:AG29)</f>
        <v>4820.3999999999996</v>
      </c>
      <c r="AK29" s="156">
        <f t="shared" si="23"/>
        <v>5000</v>
      </c>
      <c r="AL29" s="146" t="s">
        <v>164</v>
      </c>
    </row>
    <row r="30" spans="1:38" s="155" customFormat="1" x14ac:dyDescent="0.2">
      <c r="A30" s="146" t="s">
        <v>165</v>
      </c>
      <c r="B30" s="146" t="s">
        <v>166</v>
      </c>
      <c r="C30" s="156">
        <v>0</v>
      </c>
      <c r="F30" s="156">
        <v>318.06</v>
      </c>
      <c r="I30" s="156">
        <v>0</v>
      </c>
      <c r="L30" s="156">
        <v>0</v>
      </c>
      <c r="O30" s="156">
        <v>0</v>
      </c>
      <c r="R30" s="156">
        <v>0</v>
      </c>
      <c r="U30" s="156">
        <v>0</v>
      </c>
      <c r="X30" s="156">
        <v>0</v>
      </c>
      <c r="AA30" s="156">
        <v>0</v>
      </c>
      <c r="AD30" s="156">
        <v>0</v>
      </c>
      <c r="AG30" s="156">
        <v>0</v>
      </c>
      <c r="AJ30" s="186">
        <f>5000-SUM(C30:AG30)</f>
        <v>4681.9399999999996</v>
      </c>
      <c r="AK30" s="156">
        <f t="shared" si="23"/>
        <v>5000</v>
      </c>
      <c r="AL30" s="146" t="s">
        <v>166</v>
      </c>
    </row>
    <row r="31" spans="1:38" x14ac:dyDescent="0.2">
      <c r="A31" s="150" t="s">
        <v>167</v>
      </c>
      <c r="B31" s="146" t="s">
        <v>168</v>
      </c>
      <c r="C31" s="156">
        <v>0</v>
      </c>
      <c r="D31" s="155"/>
      <c r="E31" s="155"/>
      <c r="F31" s="156">
        <v>1000</v>
      </c>
      <c r="G31" s="155"/>
      <c r="H31" s="155"/>
      <c r="I31" s="156">
        <v>0</v>
      </c>
      <c r="J31" s="155"/>
      <c r="K31" s="155"/>
      <c r="L31" s="156">
        <v>0</v>
      </c>
      <c r="M31" s="155"/>
      <c r="N31" s="155"/>
      <c r="O31" s="156">
        <v>0</v>
      </c>
      <c r="P31" s="155"/>
      <c r="Q31" s="155"/>
      <c r="R31" s="156">
        <v>0</v>
      </c>
      <c r="S31" s="155"/>
      <c r="T31" s="155"/>
      <c r="U31" s="156">
        <v>0</v>
      </c>
      <c r="V31" s="155"/>
      <c r="W31" s="155"/>
      <c r="X31" s="156">
        <v>0</v>
      </c>
      <c r="Y31" s="155"/>
      <c r="Z31" s="155"/>
      <c r="AA31" s="156">
        <v>0</v>
      </c>
      <c r="AB31" s="155"/>
      <c r="AC31" s="155"/>
      <c r="AD31" s="156">
        <v>0</v>
      </c>
      <c r="AE31" s="155"/>
      <c r="AF31" s="155"/>
      <c r="AG31" s="156">
        <v>0</v>
      </c>
      <c r="AH31" s="155"/>
      <c r="AI31" s="155"/>
      <c r="AJ31" s="186">
        <f>5000-SUM(C31:AG31)</f>
        <v>4000</v>
      </c>
      <c r="AK31" s="156">
        <f t="shared" si="23"/>
        <v>5000</v>
      </c>
      <c r="AL31" s="146" t="s">
        <v>168</v>
      </c>
    </row>
    <row r="32" spans="1:38" x14ac:dyDescent="0.2">
      <c r="A32" s="150" t="s">
        <v>169</v>
      </c>
      <c r="B32" s="146" t="s">
        <v>170</v>
      </c>
      <c r="C32" s="156">
        <v>0</v>
      </c>
      <c r="D32" s="155"/>
      <c r="E32" s="155"/>
      <c r="F32" s="156">
        <v>0</v>
      </c>
      <c r="G32" s="155"/>
      <c r="H32" s="155"/>
      <c r="I32" s="156">
        <v>0</v>
      </c>
      <c r="J32" s="155"/>
      <c r="K32" s="155"/>
      <c r="L32" s="156">
        <v>0</v>
      </c>
      <c r="M32" s="155"/>
      <c r="N32" s="155"/>
      <c r="O32" s="156">
        <v>0</v>
      </c>
      <c r="P32" s="155"/>
      <c r="Q32" s="155"/>
      <c r="R32" s="156">
        <v>0</v>
      </c>
      <c r="S32" s="155"/>
      <c r="T32" s="155"/>
      <c r="U32" s="156">
        <v>0</v>
      </c>
      <c r="V32" s="155"/>
      <c r="W32" s="155"/>
      <c r="X32" s="156">
        <v>0</v>
      </c>
      <c r="Y32" s="155"/>
      <c r="Z32" s="155"/>
      <c r="AA32" s="156">
        <v>0</v>
      </c>
      <c r="AB32" s="155"/>
      <c r="AC32" s="155"/>
      <c r="AD32" s="156">
        <v>0</v>
      </c>
      <c r="AE32" s="155"/>
      <c r="AF32" s="155"/>
      <c r="AG32" s="156">
        <v>0</v>
      </c>
      <c r="AH32" s="155"/>
      <c r="AI32" s="155"/>
      <c r="AJ32" s="186">
        <f>5000-SUM(C32:AG32)</f>
        <v>5000</v>
      </c>
      <c r="AK32" s="156">
        <f t="shared" si="23"/>
        <v>5000</v>
      </c>
      <c r="AL32" s="146" t="s">
        <v>170</v>
      </c>
    </row>
    <row r="33" spans="1:38" x14ac:dyDescent="0.2">
      <c r="A33" s="150" t="s">
        <v>171</v>
      </c>
      <c r="B33" s="146" t="s">
        <v>172</v>
      </c>
      <c r="C33" s="156">
        <v>275.63</v>
      </c>
      <c r="D33" s="155"/>
      <c r="E33" s="155"/>
      <c r="F33" s="156">
        <v>0</v>
      </c>
      <c r="G33" s="155"/>
      <c r="H33" s="155"/>
      <c r="I33" s="156">
        <v>0</v>
      </c>
      <c r="J33" s="155"/>
      <c r="K33" s="155"/>
      <c r="L33" s="156">
        <v>0</v>
      </c>
      <c r="M33" s="155"/>
      <c r="N33" s="155"/>
      <c r="O33" s="156">
        <v>0</v>
      </c>
      <c r="P33" s="155"/>
      <c r="Q33" s="155"/>
      <c r="R33" s="156">
        <v>0</v>
      </c>
      <c r="S33" s="155"/>
      <c r="T33" s="155"/>
      <c r="U33" s="156">
        <v>0</v>
      </c>
      <c r="V33" s="155"/>
      <c r="W33" s="155"/>
      <c r="X33" s="156">
        <v>0</v>
      </c>
      <c r="Y33" s="155"/>
      <c r="Z33" s="155"/>
      <c r="AA33" s="156">
        <v>0</v>
      </c>
      <c r="AB33" s="155"/>
      <c r="AC33" s="155"/>
      <c r="AD33" s="156">
        <v>0</v>
      </c>
      <c r="AE33" s="155"/>
      <c r="AF33" s="155"/>
      <c r="AG33" s="156">
        <v>0</v>
      </c>
      <c r="AH33" s="155"/>
      <c r="AI33" s="155"/>
      <c r="AJ33" s="186">
        <f>8000-SUM(C33:AG33)</f>
        <v>7724.37</v>
      </c>
      <c r="AK33" s="156">
        <f t="shared" si="23"/>
        <v>8000</v>
      </c>
      <c r="AL33" s="146" t="s">
        <v>172</v>
      </c>
    </row>
    <row r="34" spans="1:38" x14ac:dyDescent="0.2">
      <c r="A34" s="150" t="s">
        <v>173</v>
      </c>
      <c r="B34" s="146" t="s">
        <v>278</v>
      </c>
      <c r="C34" s="156">
        <v>0</v>
      </c>
      <c r="D34" s="155"/>
      <c r="E34" s="155"/>
      <c r="F34" s="156">
        <v>0</v>
      </c>
      <c r="G34" s="155"/>
      <c r="H34" s="155"/>
      <c r="I34" s="156">
        <v>0</v>
      </c>
      <c r="J34" s="155"/>
      <c r="K34" s="155"/>
      <c r="L34" s="156">
        <v>0</v>
      </c>
      <c r="M34" s="155"/>
      <c r="N34" s="155"/>
      <c r="O34" s="156">
        <v>0</v>
      </c>
      <c r="P34" s="155"/>
      <c r="Q34" s="155"/>
      <c r="R34" s="156">
        <v>0</v>
      </c>
      <c r="S34" s="170"/>
      <c r="T34" s="170"/>
      <c r="U34" s="156">
        <v>0</v>
      </c>
      <c r="V34" s="155"/>
      <c r="W34" s="155"/>
      <c r="X34" s="156">
        <f t="shared" ref="X34:X35" si="24">ROUND(SUM($C34:$U34)/6,0)</f>
        <v>0</v>
      </c>
      <c r="Y34" s="155"/>
      <c r="Z34" s="155"/>
      <c r="AA34" s="156">
        <v>0</v>
      </c>
      <c r="AB34" s="155"/>
      <c r="AC34" s="155"/>
      <c r="AD34" s="156">
        <v>0</v>
      </c>
      <c r="AE34" s="155"/>
      <c r="AF34" s="155"/>
      <c r="AG34" s="156">
        <v>0</v>
      </c>
      <c r="AH34" s="155"/>
      <c r="AI34" s="155"/>
      <c r="AJ34" s="186">
        <f>5000-SUM(C34:AG34)</f>
        <v>5000</v>
      </c>
      <c r="AK34" s="156">
        <f t="shared" si="23"/>
        <v>5000</v>
      </c>
      <c r="AL34" s="146" t="s">
        <v>278</v>
      </c>
    </row>
    <row r="35" spans="1:38" x14ac:dyDescent="0.2">
      <c r="A35" s="150" t="s">
        <v>174</v>
      </c>
      <c r="B35" s="157" t="s">
        <v>175</v>
      </c>
      <c r="C35" s="156">
        <v>0</v>
      </c>
      <c r="D35" s="155"/>
      <c r="E35" s="155"/>
      <c r="F35" s="156">
        <v>0</v>
      </c>
      <c r="G35" s="155"/>
      <c r="H35" s="155"/>
      <c r="I35" s="156">
        <v>0</v>
      </c>
      <c r="J35" s="155"/>
      <c r="K35" s="155"/>
      <c r="L35" s="156">
        <v>0</v>
      </c>
      <c r="M35" s="155"/>
      <c r="N35" s="155"/>
      <c r="O35" s="156">
        <v>0</v>
      </c>
      <c r="P35" s="155"/>
      <c r="Q35" s="155"/>
      <c r="R35" s="156">
        <v>0</v>
      </c>
      <c r="S35" s="155"/>
      <c r="T35" s="155"/>
      <c r="U35" s="156">
        <v>0</v>
      </c>
      <c r="V35" s="155"/>
      <c r="W35" s="155"/>
      <c r="X35" s="156">
        <f t="shared" si="24"/>
        <v>0</v>
      </c>
      <c r="Y35" s="155"/>
      <c r="Z35" s="155"/>
      <c r="AA35" s="156">
        <v>0</v>
      </c>
      <c r="AB35" s="155"/>
      <c r="AC35" s="155"/>
      <c r="AD35" s="156">
        <v>0</v>
      </c>
      <c r="AE35" s="155"/>
      <c r="AF35" s="155"/>
      <c r="AG35" s="156">
        <v>0</v>
      </c>
      <c r="AH35" s="155"/>
      <c r="AI35" s="155"/>
      <c r="AJ35" s="186">
        <f>15000-SUM(C35:AG35)</f>
        <v>15000</v>
      </c>
      <c r="AK35" s="156">
        <f t="shared" si="23"/>
        <v>15000</v>
      </c>
      <c r="AL35" s="157" t="s">
        <v>175</v>
      </c>
    </row>
    <row r="36" spans="1:38" x14ac:dyDescent="0.2">
      <c r="A36" s="150" t="s">
        <v>176</v>
      </c>
      <c r="B36" s="146" t="s">
        <v>177</v>
      </c>
      <c r="C36" s="156">
        <v>0</v>
      </c>
      <c r="D36" s="155"/>
      <c r="E36" s="155"/>
      <c r="F36" s="156">
        <v>2059.33</v>
      </c>
      <c r="G36" s="155"/>
      <c r="H36" s="155"/>
      <c r="I36" s="156">
        <v>0</v>
      </c>
      <c r="J36" s="155"/>
      <c r="K36" s="155"/>
      <c r="L36" s="156">
        <v>0</v>
      </c>
      <c r="M36" s="155"/>
      <c r="N36" s="155"/>
      <c r="O36" s="156">
        <v>0</v>
      </c>
      <c r="P36" s="155"/>
      <c r="Q36" s="155"/>
      <c r="R36" s="156">
        <v>0</v>
      </c>
      <c r="S36" s="155"/>
      <c r="T36" s="155"/>
      <c r="U36" s="156">
        <v>0</v>
      </c>
      <c r="V36" s="155"/>
      <c r="W36" s="155"/>
      <c r="X36" s="156">
        <v>0</v>
      </c>
      <c r="Y36" s="155"/>
      <c r="Z36" s="155"/>
      <c r="AA36" s="156">
        <v>0</v>
      </c>
      <c r="AB36" s="155"/>
      <c r="AC36" s="155"/>
      <c r="AD36" s="156">
        <v>0</v>
      </c>
      <c r="AE36" s="155"/>
      <c r="AF36" s="155"/>
      <c r="AG36" s="156">
        <v>0</v>
      </c>
      <c r="AH36" s="155"/>
      <c r="AI36" s="155"/>
      <c r="AJ36" s="186">
        <f>10000-SUM(C36:AG36)</f>
        <v>7940.67</v>
      </c>
      <c r="AK36" s="156">
        <f t="shared" si="23"/>
        <v>10000</v>
      </c>
      <c r="AL36" s="146" t="s">
        <v>177</v>
      </c>
    </row>
    <row r="37" spans="1:38" x14ac:dyDescent="0.2">
      <c r="A37" s="150" t="s">
        <v>178</v>
      </c>
      <c r="B37" s="146" t="s">
        <v>179</v>
      </c>
      <c r="C37" s="156">
        <v>1408.42</v>
      </c>
      <c r="D37" s="155"/>
      <c r="E37" s="155"/>
      <c r="F37" s="156">
        <v>1408.42</v>
      </c>
      <c r="G37" s="155"/>
      <c r="H37" s="155"/>
      <c r="I37" s="156">
        <v>0</v>
      </c>
      <c r="J37" s="155"/>
      <c r="K37" s="155"/>
      <c r="L37" s="156">
        <v>0</v>
      </c>
      <c r="M37" s="155"/>
      <c r="N37" s="155"/>
      <c r="O37" s="156">
        <v>0</v>
      </c>
      <c r="P37" s="155"/>
      <c r="Q37" s="155"/>
      <c r="R37" s="156">
        <v>0</v>
      </c>
      <c r="S37" s="155"/>
      <c r="T37" s="155"/>
      <c r="U37" s="156">
        <v>0</v>
      </c>
      <c r="V37" s="155"/>
      <c r="W37" s="155"/>
      <c r="X37" s="156">
        <v>0</v>
      </c>
      <c r="Y37" s="155"/>
      <c r="Z37" s="155"/>
      <c r="AA37" s="156">
        <v>0</v>
      </c>
      <c r="AB37" s="155"/>
      <c r="AC37" s="155"/>
      <c r="AD37" s="156">
        <v>0</v>
      </c>
      <c r="AE37" s="155"/>
      <c r="AF37" s="155"/>
      <c r="AG37" s="156">
        <v>0</v>
      </c>
      <c r="AH37" s="155"/>
      <c r="AI37" s="155"/>
      <c r="AJ37" s="186">
        <f>10000-SUM(C37:AG37)</f>
        <v>7183.16</v>
      </c>
      <c r="AK37" s="156">
        <f t="shared" si="23"/>
        <v>10000</v>
      </c>
      <c r="AL37" s="146" t="s">
        <v>179</v>
      </c>
    </row>
    <row r="38" spans="1:38" s="189" customFormat="1" x14ac:dyDescent="0.2">
      <c r="A38" s="150"/>
      <c r="B38" s="204" t="s">
        <v>102</v>
      </c>
      <c r="C38" s="205">
        <f>SUM(C28:C37)</f>
        <v>2731.84</v>
      </c>
      <c r="F38" s="205">
        <f>SUM(F28:F37)</f>
        <v>5458.23</v>
      </c>
      <c r="I38" s="205">
        <f>SUM(I28:I37)</f>
        <v>0</v>
      </c>
      <c r="L38" s="205">
        <f>SUM(L28:L37)</f>
        <v>0</v>
      </c>
      <c r="O38" s="205">
        <f>SUM(O28:O37)</f>
        <v>0</v>
      </c>
      <c r="R38" s="205">
        <f>SUM(R28:R37)</f>
        <v>0</v>
      </c>
      <c r="U38" s="205">
        <f>SUM(U28:U37)</f>
        <v>0</v>
      </c>
      <c r="X38" s="205">
        <f>SUM(X28:X37)</f>
        <v>0</v>
      </c>
      <c r="AA38" s="205">
        <f>SUM(AA28:AA37)</f>
        <v>0</v>
      </c>
      <c r="AD38" s="205">
        <f>SUM(AD28:AD37)</f>
        <v>0</v>
      </c>
      <c r="AG38" s="205">
        <f>SUM(AG28:AG37)</f>
        <v>0</v>
      </c>
      <c r="AJ38" s="206">
        <f>SUM(AJ28:AJ37)</f>
        <v>71809.929999999993</v>
      </c>
      <c r="AK38" s="205">
        <f t="shared" si="23"/>
        <v>80000</v>
      </c>
      <c r="AL38" s="204" t="s">
        <v>102</v>
      </c>
    </row>
    <row r="39" spans="1:38" x14ac:dyDescent="0.2">
      <c r="A39" s="146"/>
      <c r="B39" s="146"/>
      <c r="C39" s="156"/>
      <c r="D39" s="155"/>
      <c r="E39" s="155"/>
      <c r="F39" s="156"/>
      <c r="G39" s="155"/>
      <c r="H39" s="155"/>
      <c r="I39" s="156"/>
      <c r="J39" s="155"/>
      <c r="K39" s="155"/>
      <c r="L39" s="156"/>
      <c r="M39" s="155"/>
      <c r="N39" s="155"/>
      <c r="O39" s="156"/>
      <c r="P39" s="155"/>
      <c r="Q39" s="155"/>
      <c r="R39" s="156"/>
      <c r="S39" s="170"/>
      <c r="T39" s="170"/>
      <c r="U39" s="156"/>
      <c r="V39" s="155"/>
      <c r="W39" s="155"/>
      <c r="X39" s="156"/>
      <c r="Y39" s="155"/>
      <c r="Z39" s="155"/>
      <c r="AA39" s="156"/>
      <c r="AB39" s="155"/>
      <c r="AC39" s="155"/>
      <c r="AD39" s="156"/>
      <c r="AE39" s="155"/>
      <c r="AF39" s="155"/>
      <c r="AG39" s="156"/>
      <c r="AH39" s="155"/>
      <c r="AI39" s="155"/>
      <c r="AJ39" s="186"/>
      <c r="AK39" s="156"/>
      <c r="AL39" s="146"/>
    </row>
    <row r="40" spans="1:38" x14ac:dyDescent="0.2">
      <c r="A40" s="294" t="s">
        <v>180</v>
      </c>
      <c r="S40" s="296"/>
      <c r="T40" s="296"/>
      <c r="AJ40" s="418"/>
    </row>
    <row r="41" spans="1:38" s="189" customFormat="1" x14ac:dyDescent="0.2">
      <c r="A41" s="146" t="s">
        <v>181</v>
      </c>
      <c r="B41" s="304" t="s">
        <v>182</v>
      </c>
      <c r="C41" s="167">
        <v>0</v>
      </c>
      <c r="D41" s="149"/>
      <c r="E41" s="149"/>
      <c r="F41" s="167">
        <v>0</v>
      </c>
      <c r="G41" s="149"/>
      <c r="H41" s="149"/>
      <c r="I41" s="167">
        <v>0</v>
      </c>
      <c r="J41" s="149"/>
      <c r="K41" s="149"/>
      <c r="L41" s="167">
        <v>0</v>
      </c>
      <c r="M41" s="149"/>
      <c r="N41" s="149"/>
      <c r="O41" s="167">
        <v>0</v>
      </c>
      <c r="P41" s="149"/>
      <c r="Q41" s="149"/>
      <c r="R41" s="167">
        <v>0</v>
      </c>
      <c r="S41" s="313"/>
      <c r="T41" s="313"/>
      <c r="U41" s="167">
        <v>0</v>
      </c>
      <c r="V41" s="149"/>
      <c r="W41" s="149"/>
      <c r="X41" s="167">
        <f>ROUND(SUM($C41:$U41)/7,2)</f>
        <v>0</v>
      </c>
      <c r="Y41" s="149"/>
      <c r="Z41" s="149"/>
      <c r="AA41" s="167">
        <f>ROUND(SUM($C41:$U41)/7,2)</f>
        <v>0</v>
      </c>
      <c r="AB41" s="149"/>
      <c r="AC41" s="149"/>
      <c r="AD41" s="167">
        <f>ROUND(SUM($C41:$U41)/7,2)</f>
        <v>0</v>
      </c>
      <c r="AE41" s="149"/>
      <c r="AF41" s="149"/>
      <c r="AG41" s="167">
        <f>ROUND(SUM($C41:$U41)/7,2)</f>
        <v>0</v>
      </c>
      <c r="AH41" s="149"/>
      <c r="AI41" s="149"/>
      <c r="AJ41" s="186">
        <f>100000-SUM(C41:AG41)</f>
        <v>100000</v>
      </c>
      <c r="AK41" s="167">
        <f t="shared" ref="AK41:AK56" si="25">SUM(C41:AJ41)</f>
        <v>100000</v>
      </c>
      <c r="AL41" s="304" t="s">
        <v>182</v>
      </c>
    </row>
    <row r="42" spans="1:38" x14ac:dyDescent="0.2">
      <c r="A42" s="146"/>
      <c r="B42" s="146"/>
      <c r="C42" s="156"/>
      <c r="D42" s="155"/>
      <c r="E42" s="155"/>
      <c r="F42" s="156"/>
      <c r="G42" s="155"/>
      <c r="H42" s="155"/>
      <c r="I42" s="156"/>
      <c r="J42" s="155"/>
      <c r="K42" s="155"/>
      <c r="L42" s="156"/>
      <c r="M42" s="155"/>
      <c r="N42" s="155"/>
      <c r="O42" s="156"/>
      <c r="P42" s="155"/>
      <c r="Q42" s="155"/>
      <c r="R42" s="156"/>
      <c r="S42" s="170"/>
      <c r="T42" s="170"/>
      <c r="U42" s="156"/>
      <c r="V42" s="155"/>
      <c r="W42" s="155"/>
      <c r="X42" s="156"/>
      <c r="Y42" s="155"/>
      <c r="Z42" s="155"/>
      <c r="AA42" s="156"/>
      <c r="AB42" s="155"/>
      <c r="AC42" s="155"/>
      <c r="AD42" s="156"/>
      <c r="AE42" s="155"/>
      <c r="AF42" s="155"/>
      <c r="AG42" s="156"/>
      <c r="AH42" s="155"/>
      <c r="AI42" s="155"/>
      <c r="AJ42" s="186"/>
      <c r="AK42" s="156"/>
      <c r="AL42" s="146"/>
    </row>
    <row r="43" spans="1:38" x14ac:dyDescent="0.2">
      <c r="A43" s="294" t="s">
        <v>183</v>
      </c>
      <c r="B43" s="146"/>
      <c r="C43" s="156"/>
      <c r="D43" s="155"/>
      <c r="E43" s="155"/>
      <c r="F43" s="156"/>
      <c r="G43" s="155"/>
      <c r="H43" s="155"/>
      <c r="I43" s="156"/>
      <c r="J43" s="155"/>
      <c r="K43" s="155"/>
      <c r="L43" s="156"/>
      <c r="M43" s="155"/>
      <c r="N43" s="155"/>
      <c r="O43" s="156"/>
      <c r="P43" s="155"/>
      <c r="Q43" s="155"/>
      <c r="R43" s="156"/>
      <c r="S43" s="170"/>
      <c r="T43" s="170"/>
      <c r="U43" s="156"/>
      <c r="V43" s="155"/>
      <c r="W43" s="155"/>
      <c r="X43" s="156"/>
      <c r="Y43" s="155"/>
      <c r="Z43" s="155"/>
      <c r="AA43" s="156"/>
      <c r="AB43" s="155"/>
      <c r="AC43" s="155"/>
      <c r="AD43" s="156"/>
      <c r="AE43" s="155"/>
      <c r="AF43" s="155"/>
      <c r="AG43" s="156"/>
      <c r="AH43" s="155"/>
      <c r="AI43" s="155"/>
      <c r="AJ43" s="186"/>
      <c r="AK43" s="156"/>
      <c r="AL43" s="146"/>
    </row>
    <row r="44" spans="1:38" x14ac:dyDescent="0.2">
      <c r="A44" s="150" t="s">
        <v>184</v>
      </c>
      <c r="B44" s="146" t="s">
        <v>185</v>
      </c>
      <c r="C44" s="156">
        <v>1.32</v>
      </c>
      <c r="D44" s="155"/>
      <c r="E44" s="155"/>
      <c r="F44" s="156">
        <v>72.11</v>
      </c>
      <c r="G44" s="155"/>
      <c r="H44" s="155"/>
      <c r="I44" s="156">
        <v>0</v>
      </c>
      <c r="J44" s="155"/>
      <c r="K44" s="155"/>
      <c r="L44" s="156">
        <v>0</v>
      </c>
      <c r="M44" s="155"/>
      <c r="N44" s="155"/>
      <c r="O44" s="156">
        <v>0</v>
      </c>
      <c r="P44" s="155"/>
      <c r="Q44" s="155"/>
      <c r="R44" s="156">
        <v>0</v>
      </c>
      <c r="S44" s="155"/>
      <c r="T44" s="155"/>
      <c r="U44" s="156">
        <v>0</v>
      </c>
      <c r="V44" s="155"/>
      <c r="W44" s="155"/>
      <c r="X44" s="156">
        <v>0</v>
      </c>
      <c r="Y44" s="155"/>
      <c r="Z44" s="155"/>
      <c r="AA44" s="156">
        <v>0</v>
      </c>
      <c r="AB44" s="155"/>
      <c r="AC44" s="155"/>
      <c r="AD44" s="156">
        <v>0</v>
      </c>
      <c r="AE44" s="155"/>
      <c r="AF44" s="155"/>
      <c r="AG44" s="156">
        <v>0</v>
      </c>
      <c r="AH44" s="155"/>
      <c r="AI44" s="155"/>
      <c r="AJ44" s="186">
        <f>6000-SUM(C44:AG44)</f>
        <v>5926.57</v>
      </c>
      <c r="AK44" s="156">
        <f t="shared" si="25"/>
        <v>6000</v>
      </c>
      <c r="AL44" s="146" t="s">
        <v>185</v>
      </c>
    </row>
    <row r="45" spans="1:38" x14ac:dyDescent="0.2">
      <c r="A45" s="150" t="s">
        <v>186</v>
      </c>
      <c r="B45" s="146" t="s">
        <v>187</v>
      </c>
      <c r="C45" s="156">
        <v>0</v>
      </c>
      <c r="D45" s="155"/>
      <c r="E45" s="155"/>
      <c r="F45" s="156">
        <v>32.69</v>
      </c>
      <c r="G45" s="155"/>
      <c r="H45" s="155"/>
      <c r="I45" s="156">
        <v>0</v>
      </c>
      <c r="J45" s="155"/>
      <c r="K45" s="155"/>
      <c r="L45" s="156">
        <v>0</v>
      </c>
      <c r="M45" s="155"/>
      <c r="N45" s="155"/>
      <c r="O45" s="156">
        <v>0</v>
      </c>
      <c r="P45" s="155"/>
      <c r="Q45" s="155"/>
      <c r="R45" s="156">
        <v>0</v>
      </c>
      <c r="S45" s="155"/>
      <c r="T45" s="155"/>
      <c r="U45" s="156">
        <v>0</v>
      </c>
      <c r="V45" s="155"/>
      <c r="W45" s="155"/>
      <c r="X45" s="156">
        <v>0</v>
      </c>
      <c r="Y45" s="155"/>
      <c r="Z45" s="155"/>
      <c r="AA45" s="156">
        <v>0</v>
      </c>
      <c r="AB45" s="155"/>
      <c r="AC45" s="155"/>
      <c r="AD45" s="156">
        <v>0</v>
      </c>
      <c r="AE45" s="155"/>
      <c r="AF45" s="155"/>
      <c r="AG45" s="156">
        <v>0</v>
      </c>
      <c r="AH45" s="155"/>
      <c r="AI45" s="155"/>
      <c r="AJ45" s="186">
        <f>4000-SUM(C45:AG45)</f>
        <v>3967.31</v>
      </c>
      <c r="AK45" s="156">
        <f t="shared" si="25"/>
        <v>4000</v>
      </c>
      <c r="AL45" s="146" t="s">
        <v>187</v>
      </c>
    </row>
    <row r="46" spans="1:38" x14ac:dyDescent="0.2">
      <c r="A46" s="150" t="s">
        <v>188</v>
      </c>
      <c r="B46" s="146" t="s">
        <v>189</v>
      </c>
      <c r="C46" s="156">
        <v>0</v>
      </c>
      <c r="D46" s="155"/>
      <c r="E46" s="155"/>
      <c r="F46" s="156">
        <v>180</v>
      </c>
      <c r="G46" s="155"/>
      <c r="H46" s="155"/>
      <c r="I46" s="156">
        <v>0</v>
      </c>
      <c r="J46" s="155"/>
      <c r="K46" s="155"/>
      <c r="L46" s="156">
        <v>0</v>
      </c>
      <c r="M46" s="155"/>
      <c r="N46" s="155"/>
      <c r="O46" s="156">
        <v>0</v>
      </c>
      <c r="P46" s="155"/>
      <c r="Q46" s="155"/>
      <c r="R46" s="156">
        <v>0</v>
      </c>
      <c r="S46" s="155"/>
      <c r="T46" s="155"/>
      <c r="U46" s="156">
        <v>0</v>
      </c>
      <c r="V46" s="155"/>
      <c r="W46" s="155"/>
      <c r="X46" s="156">
        <v>0</v>
      </c>
      <c r="Y46" s="155"/>
      <c r="Z46" s="155"/>
      <c r="AA46" s="156">
        <v>0</v>
      </c>
      <c r="AB46" s="155"/>
      <c r="AC46" s="155"/>
      <c r="AD46" s="156">
        <v>0</v>
      </c>
      <c r="AE46" s="155"/>
      <c r="AF46" s="155"/>
      <c r="AG46" s="156">
        <v>0</v>
      </c>
      <c r="AH46" s="155"/>
      <c r="AI46" s="155"/>
      <c r="AJ46" s="186">
        <f>5000-SUM(C46:AG46)</f>
        <v>4820</v>
      </c>
      <c r="AK46" s="156">
        <f t="shared" si="25"/>
        <v>5000</v>
      </c>
      <c r="AL46" s="146" t="s">
        <v>189</v>
      </c>
    </row>
    <row r="47" spans="1:38" x14ac:dyDescent="0.2">
      <c r="A47" s="150" t="s">
        <v>190</v>
      </c>
      <c r="B47" s="146" t="s">
        <v>191</v>
      </c>
      <c r="C47" s="156">
        <v>0</v>
      </c>
      <c r="D47" s="155"/>
      <c r="E47" s="155"/>
      <c r="F47" s="156">
        <v>0</v>
      </c>
      <c r="G47" s="155"/>
      <c r="H47" s="155"/>
      <c r="I47" s="156">
        <v>0</v>
      </c>
      <c r="J47" s="155"/>
      <c r="K47" s="155"/>
      <c r="L47" s="156">
        <v>0</v>
      </c>
      <c r="M47" s="155"/>
      <c r="N47" s="155"/>
      <c r="O47" s="156">
        <v>0</v>
      </c>
      <c r="P47" s="155"/>
      <c r="Q47" s="155"/>
      <c r="R47" s="156">
        <v>0</v>
      </c>
      <c r="S47" s="155"/>
      <c r="T47" s="155"/>
      <c r="U47" s="156">
        <v>0</v>
      </c>
      <c r="V47" s="155"/>
      <c r="W47" s="155"/>
      <c r="X47" s="156">
        <v>0</v>
      </c>
      <c r="Y47" s="155"/>
      <c r="Z47" s="155"/>
      <c r="AA47" s="156">
        <v>0</v>
      </c>
      <c r="AB47" s="155"/>
      <c r="AC47" s="155"/>
      <c r="AD47" s="156">
        <v>0</v>
      </c>
      <c r="AE47" s="155"/>
      <c r="AF47" s="155"/>
      <c r="AG47" s="156">
        <v>0</v>
      </c>
      <c r="AH47" s="155"/>
      <c r="AI47" s="155"/>
      <c r="AJ47" s="186">
        <f>3000-SUM(C47:AG47)</f>
        <v>3000</v>
      </c>
      <c r="AK47" s="156">
        <f t="shared" si="25"/>
        <v>3000</v>
      </c>
      <c r="AL47" s="146" t="s">
        <v>191</v>
      </c>
    </row>
    <row r="48" spans="1:38" x14ac:dyDescent="0.2">
      <c r="A48" s="150" t="s">
        <v>192</v>
      </c>
      <c r="B48" s="146" t="s">
        <v>193</v>
      </c>
      <c r="C48" s="156">
        <v>0</v>
      </c>
      <c r="D48" s="155"/>
      <c r="E48" s="155"/>
      <c r="F48" s="156">
        <v>0</v>
      </c>
      <c r="G48" s="155"/>
      <c r="H48" s="155"/>
      <c r="I48" s="156">
        <v>0</v>
      </c>
      <c r="J48" s="155"/>
      <c r="K48" s="155"/>
      <c r="L48" s="156">
        <v>0</v>
      </c>
      <c r="M48" s="155"/>
      <c r="N48" s="155"/>
      <c r="O48" s="156">
        <v>0</v>
      </c>
      <c r="P48" s="155"/>
      <c r="Q48" s="155"/>
      <c r="R48" s="156">
        <v>0</v>
      </c>
      <c r="S48" s="155"/>
      <c r="T48" s="155"/>
      <c r="U48" s="156">
        <v>0</v>
      </c>
      <c r="V48" s="155"/>
      <c r="W48" s="155"/>
      <c r="X48" s="156">
        <v>0</v>
      </c>
      <c r="Y48" s="155"/>
      <c r="Z48" s="155"/>
      <c r="AA48" s="156">
        <v>0</v>
      </c>
      <c r="AB48" s="155"/>
      <c r="AC48" s="155"/>
      <c r="AD48" s="156">
        <v>0</v>
      </c>
      <c r="AE48" s="155"/>
      <c r="AF48" s="155"/>
      <c r="AG48" s="156">
        <v>0</v>
      </c>
      <c r="AH48" s="155"/>
      <c r="AI48" s="155"/>
      <c r="AJ48" s="186">
        <f>5000-SUM(C48:AG48)</f>
        <v>5000</v>
      </c>
      <c r="AK48" s="156">
        <f>SUM(C48:AJ48)</f>
        <v>5000</v>
      </c>
      <c r="AL48" s="146" t="s">
        <v>193</v>
      </c>
    </row>
    <row r="49" spans="1:38" x14ac:dyDescent="0.2">
      <c r="A49" s="150" t="s">
        <v>194</v>
      </c>
      <c r="B49" s="146" t="s">
        <v>195</v>
      </c>
      <c r="C49" s="156">
        <v>0</v>
      </c>
      <c r="D49" s="155"/>
      <c r="E49" s="155"/>
      <c r="F49" s="156">
        <v>2404.6999999999998</v>
      </c>
      <c r="G49" s="155"/>
      <c r="H49" s="155"/>
      <c r="I49" s="156">
        <v>0</v>
      </c>
      <c r="J49" s="155"/>
      <c r="K49" s="155"/>
      <c r="L49" s="156">
        <v>0</v>
      </c>
      <c r="M49" s="155"/>
      <c r="N49" s="155"/>
      <c r="O49" s="156">
        <v>0</v>
      </c>
      <c r="P49" s="155"/>
      <c r="Q49" s="155"/>
      <c r="R49" s="156">
        <v>0</v>
      </c>
      <c r="S49" s="155"/>
      <c r="T49" s="155"/>
      <c r="U49" s="156">
        <v>0</v>
      </c>
      <c r="V49" s="155"/>
      <c r="W49" s="155"/>
      <c r="X49" s="156">
        <v>0</v>
      </c>
      <c r="Y49" s="155"/>
      <c r="Z49" s="155"/>
      <c r="AA49" s="156">
        <v>0</v>
      </c>
      <c r="AB49" s="155"/>
      <c r="AC49" s="155"/>
      <c r="AD49" s="156">
        <v>0</v>
      </c>
      <c r="AE49" s="155"/>
      <c r="AF49" s="155"/>
      <c r="AG49" s="156">
        <v>0</v>
      </c>
      <c r="AH49" s="155"/>
      <c r="AI49" s="155"/>
      <c r="AJ49" s="186">
        <f>10000-SUM(C49:AG49)</f>
        <v>7595.3</v>
      </c>
      <c r="AK49" s="156">
        <f t="shared" si="25"/>
        <v>10000</v>
      </c>
      <c r="AL49" s="146" t="s">
        <v>195</v>
      </c>
    </row>
    <row r="50" spans="1:38" x14ac:dyDescent="0.2">
      <c r="A50" s="150" t="s">
        <v>196</v>
      </c>
      <c r="B50" s="146" t="s">
        <v>197</v>
      </c>
      <c r="C50" s="156">
        <v>0</v>
      </c>
      <c r="D50" s="155"/>
      <c r="E50" s="155"/>
      <c r="F50" s="156">
        <v>0</v>
      </c>
      <c r="G50" s="155"/>
      <c r="H50" s="155"/>
      <c r="I50" s="156">
        <v>0</v>
      </c>
      <c r="J50" s="155"/>
      <c r="K50" s="155"/>
      <c r="L50" s="156">
        <v>0</v>
      </c>
      <c r="M50" s="155"/>
      <c r="N50" s="155"/>
      <c r="O50" s="156">
        <v>0</v>
      </c>
      <c r="P50" s="155"/>
      <c r="Q50" s="155"/>
      <c r="R50" s="156">
        <v>0</v>
      </c>
      <c r="S50" s="155"/>
      <c r="T50" s="155"/>
      <c r="U50" s="156">
        <v>0</v>
      </c>
      <c r="V50" s="155"/>
      <c r="W50" s="155"/>
      <c r="X50" s="156">
        <v>0</v>
      </c>
      <c r="Y50" s="155"/>
      <c r="Z50" s="155"/>
      <c r="AA50" s="156">
        <v>0</v>
      </c>
      <c r="AB50" s="155"/>
      <c r="AC50" s="155"/>
      <c r="AD50" s="156">
        <v>0</v>
      </c>
      <c r="AE50" s="155"/>
      <c r="AF50" s="155"/>
      <c r="AG50" s="156">
        <v>0</v>
      </c>
      <c r="AH50" s="155"/>
      <c r="AI50" s="155"/>
      <c r="AJ50" s="186">
        <f>10000-SUM(C50:AG50)</f>
        <v>10000</v>
      </c>
      <c r="AK50" s="156">
        <f t="shared" si="25"/>
        <v>10000</v>
      </c>
      <c r="AL50" s="146" t="s">
        <v>197</v>
      </c>
    </row>
    <row r="51" spans="1:38" x14ac:dyDescent="0.2">
      <c r="A51" s="150" t="s">
        <v>104</v>
      </c>
      <c r="B51" s="146" t="s">
        <v>198</v>
      </c>
      <c r="C51" s="156">
        <v>0</v>
      </c>
      <c r="D51" s="155"/>
      <c r="E51" s="155"/>
      <c r="F51" s="156">
        <v>745.17</v>
      </c>
      <c r="G51" s="155"/>
      <c r="H51" s="155"/>
      <c r="I51" s="156">
        <v>0</v>
      </c>
      <c r="J51" s="155"/>
      <c r="K51" s="155"/>
      <c r="L51" s="156">
        <v>0</v>
      </c>
      <c r="M51" s="155"/>
      <c r="N51" s="155"/>
      <c r="O51" s="156">
        <v>0</v>
      </c>
      <c r="P51" s="155"/>
      <c r="Q51" s="155"/>
      <c r="R51" s="156">
        <v>0</v>
      </c>
      <c r="S51" s="155"/>
      <c r="T51" s="155"/>
      <c r="U51" s="156">
        <v>0</v>
      </c>
      <c r="V51" s="155"/>
      <c r="W51" s="155"/>
      <c r="X51" s="156">
        <v>0</v>
      </c>
      <c r="Y51" s="155"/>
      <c r="Z51" s="155"/>
      <c r="AA51" s="156">
        <v>0</v>
      </c>
      <c r="AB51" s="155"/>
      <c r="AC51" s="155"/>
      <c r="AD51" s="156">
        <v>0</v>
      </c>
      <c r="AE51" s="155"/>
      <c r="AF51" s="155"/>
      <c r="AG51" s="156">
        <v>0</v>
      </c>
      <c r="AH51" s="155"/>
      <c r="AI51" s="155"/>
      <c r="AJ51" s="186">
        <f>10000-SUM(C51:AG51)</f>
        <v>9254.83</v>
      </c>
      <c r="AK51" s="156">
        <f t="shared" si="25"/>
        <v>10000</v>
      </c>
      <c r="AL51" s="146" t="s">
        <v>198</v>
      </c>
    </row>
    <row r="52" spans="1:38" x14ac:dyDescent="0.2">
      <c r="A52" s="150" t="s">
        <v>199</v>
      </c>
      <c r="B52" s="146" t="s">
        <v>200</v>
      </c>
      <c r="C52" s="156">
        <v>0</v>
      </c>
      <c r="D52" s="155"/>
      <c r="E52" s="155"/>
      <c r="F52" s="156">
        <v>0</v>
      </c>
      <c r="G52" s="155"/>
      <c r="H52" s="155"/>
      <c r="I52" s="156">
        <v>0</v>
      </c>
      <c r="J52" s="155"/>
      <c r="K52" s="155"/>
      <c r="L52" s="156">
        <v>0</v>
      </c>
      <c r="M52" s="155"/>
      <c r="N52" s="155"/>
      <c r="O52" s="156">
        <v>0</v>
      </c>
      <c r="P52" s="155"/>
      <c r="Q52" s="155"/>
      <c r="R52" s="156">
        <v>0</v>
      </c>
      <c r="S52" s="155"/>
      <c r="T52" s="155"/>
      <c r="U52" s="156">
        <v>0</v>
      </c>
      <c r="V52" s="155"/>
      <c r="W52" s="155"/>
      <c r="X52" s="156">
        <v>0</v>
      </c>
      <c r="Y52" s="155"/>
      <c r="Z52" s="155"/>
      <c r="AA52" s="156">
        <v>0</v>
      </c>
      <c r="AB52" s="155"/>
      <c r="AC52" s="155"/>
      <c r="AD52" s="156">
        <v>0</v>
      </c>
      <c r="AE52" s="155"/>
      <c r="AF52" s="155"/>
      <c r="AG52" s="156">
        <v>0</v>
      </c>
      <c r="AH52" s="155"/>
      <c r="AI52" s="155"/>
      <c r="AJ52" s="186">
        <f>2000-SUM(C52:AG52)</f>
        <v>2000</v>
      </c>
      <c r="AK52" s="156">
        <f t="shared" si="25"/>
        <v>2000</v>
      </c>
      <c r="AL52" s="146" t="s">
        <v>200</v>
      </c>
    </row>
    <row r="53" spans="1:38" x14ac:dyDescent="0.2">
      <c r="A53" s="150" t="s">
        <v>201</v>
      </c>
      <c r="B53" s="146" t="s">
        <v>202</v>
      </c>
      <c r="C53" s="156">
        <v>5.82</v>
      </c>
      <c r="D53" s="155"/>
      <c r="E53" s="155"/>
      <c r="F53" s="156">
        <v>12.3</v>
      </c>
      <c r="G53" s="155"/>
      <c r="H53" s="155"/>
      <c r="I53" s="156">
        <v>0</v>
      </c>
      <c r="J53" s="155"/>
      <c r="K53" s="155"/>
      <c r="L53" s="156">
        <v>0</v>
      </c>
      <c r="M53" s="155"/>
      <c r="N53" s="155"/>
      <c r="O53" s="156">
        <v>0</v>
      </c>
      <c r="P53" s="155"/>
      <c r="Q53" s="155"/>
      <c r="R53" s="156">
        <v>0</v>
      </c>
      <c r="S53" s="155"/>
      <c r="T53" s="155"/>
      <c r="U53" s="156">
        <v>0</v>
      </c>
      <c r="V53" s="155"/>
      <c r="W53" s="155"/>
      <c r="X53" s="156">
        <v>0</v>
      </c>
      <c r="Y53" s="155"/>
      <c r="Z53" s="155"/>
      <c r="AA53" s="156">
        <v>0</v>
      </c>
      <c r="AB53" s="155"/>
      <c r="AC53" s="155"/>
      <c r="AD53" s="156">
        <v>0</v>
      </c>
      <c r="AE53" s="155"/>
      <c r="AF53" s="155"/>
      <c r="AG53" s="156">
        <v>0</v>
      </c>
      <c r="AH53" s="155"/>
      <c r="AI53" s="155"/>
      <c r="AJ53" s="186">
        <f>8000-SUM(C53:AG53)</f>
        <v>7981.88</v>
      </c>
      <c r="AK53" s="156">
        <f t="shared" si="25"/>
        <v>8000</v>
      </c>
      <c r="AL53" s="146" t="s">
        <v>202</v>
      </c>
    </row>
    <row r="54" spans="1:38" x14ac:dyDescent="0.2">
      <c r="A54" s="150" t="s">
        <v>203</v>
      </c>
      <c r="B54" s="146" t="s">
        <v>204</v>
      </c>
      <c r="C54" s="156">
        <v>18</v>
      </c>
      <c r="D54" s="155"/>
      <c r="E54" s="155"/>
      <c r="F54" s="156">
        <v>18</v>
      </c>
      <c r="G54" s="155"/>
      <c r="H54" s="155"/>
      <c r="I54" s="156">
        <v>0</v>
      </c>
      <c r="J54" s="155"/>
      <c r="K54" s="155"/>
      <c r="L54" s="156">
        <v>0</v>
      </c>
      <c r="M54" s="155"/>
      <c r="N54" s="155"/>
      <c r="O54" s="156">
        <v>0</v>
      </c>
      <c r="P54" s="155"/>
      <c r="Q54" s="155"/>
      <c r="R54" s="156">
        <v>0</v>
      </c>
      <c r="S54" s="155"/>
      <c r="T54" s="155"/>
      <c r="U54" s="156">
        <v>0</v>
      </c>
      <c r="V54" s="155"/>
      <c r="W54" s="155"/>
      <c r="X54" s="156">
        <v>0</v>
      </c>
      <c r="Y54" s="155"/>
      <c r="Z54" s="155"/>
      <c r="AA54" s="156">
        <v>0</v>
      </c>
      <c r="AB54" s="155"/>
      <c r="AC54" s="155"/>
      <c r="AD54" s="156">
        <v>0</v>
      </c>
      <c r="AE54" s="155"/>
      <c r="AF54" s="155"/>
      <c r="AG54" s="156">
        <v>0</v>
      </c>
      <c r="AH54" s="155"/>
      <c r="AI54" s="155"/>
      <c r="AJ54" s="186">
        <f>3000-SUM(C54:AG54)</f>
        <v>2964</v>
      </c>
      <c r="AK54" s="156">
        <f t="shared" si="25"/>
        <v>3000</v>
      </c>
      <c r="AL54" s="146" t="s">
        <v>204</v>
      </c>
    </row>
    <row r="55" spans="1:38" x14ac:dyDescent="0.2">
      <c r="A55" s="150" t="s">
        <v>205</v>
      </c>
      <c r="B55" s="146" t="s">
        <v>206</v>
      </c>
      <c r="C55" s="156">
        <v>0</v>
      </c>
      <c r="D55" s="155"/>
      <c r="E55" s="155"/>
      <c r="F55" s="156">
        <v>0</v>
      </c>
      <c r="G55" s="155"/>
      <c r="H55" s="155"/>
      <c r="I55" s="156">
        <v>0</v>
      </c>
      <c r="J55" s="155"/>
      <c r="K55" s="155"/>
      <c r="L55" s="156">
        <v>0</v>
      </c>
      <c r="M55" s="155"/>
      <c r="N55" s="155"/>
      <c r="O55" s="156">
        <v>0</v>
      </c>
      <c r="P55" s="155"/>
      <c r="Q55" s="155"/>
      <c r="R55" s="156">
        <v>0</v>
      </c>
      <c r="S55" s="155"/>
      <c r="T55" s="155"/>
      <c r="U55" s="156">
        <v>0</v>
      </c>
      <c r="V55" s="155"/>
      <c r="W55" s="155"/>
      <c r="X55" s="156">
        <v>0</v>
      </c>
      <c r="Y55" s="155"/>
      <c r="Z55" s="155"/>
      <c r="AA55" s="156">
        <v>0</v>
      </c>
      <c r="AB55" s="155"/>
      <c r="AC55" s="155"/>
      <c r="AD55" s="156">
        <v>0</v>
      </c>
      <c r="AE55" s="155"/>
      <c r="AF55" s="155"/>
      <c r="AG55" s="156">
        <v>0</v>
      </c>
      <c r="AH55" s="155"/>
      <c r="AI55" s="155"/>
      <c r="AJ55" s="186">
        <f>1000-SUM(C55:AG55)</f>
        <v>1000</v>
      </c>
      <c r="AK55" s="156">
        <f t="shared" si="25"/>
        <v>1000</v>
      </c>
      <c r="AL55" s="146" t="s">
        <v>206</v>
      </c>
    </row>
    <row r="56" spans="1:38" s="189" customFormat="1" x14ac:dyDescent="0.2">
      <c r="A56" s="150"/>
      <c r="B56" s="204" t="s">
        <v>105</v>
      </c>
      <c r="C56" s="205">
        <f>SUM(C44:C55)</f>
        <v>25.14</v>
      </c>
      <c r="F56" s="205">
        <f>SUM(F44:F55)</f>
        <v>3464.9700000000003</v>
      </c>
      <c r="I56" s="205">
        <f>SUM(I44:I55)</f>
        <v>0</v>
      </c>
      <c r="L56" s="205">
        <f t="shared" ref="L56" si="26">SUM(L44:L55)</f>
        <v>0</v>
      </c>
      <c r="O56" s="205">
        <f t="shared" ref="O56" si="27">SUM(O44:O55)</f>
        <v>0</v>
      </c>
      <c r="R56" s="205">
        <f t="shared" ref="R56" si="28">SUM(R44:R55)</f>
        <v>0</v>
      </c>
      <c r="U56" s="205">
        <f t="shared" ref="U56" si="29">SUM(U44:U55)</f>
        <v>0</v>
      </c>
      <c r="X56" s="205">
        <f t="shared" ref="X56" si="30">SUM(X44:X55)</f>
        <v>0</v>
      </c>
      <c r="AA56" s="205">
        <f t="shared" ref="AA56" si="31">SUM(AA44:AA55)</f>
        <v>0</v>
      </c>
      <c r="AD56" s="205">
        <f t="shared" ref="AD56" si="32">SUM(AD44:AD55)</f>
        <v>0</v>
      </c>
      <c r="AG56" s="205">
        <f t="shared" ref="AG56" si="33">SUM(AG44:AG55)</f>
        <v>0</v>
      </c>
      <c r="AJ56" s="206">
        <f t="shared" ref="AJ56" si="34">SUM(AJ44:AJ55)</f>
        <v>63509.889999999992</v>
      </c>
      <c r="AK56" s="205">
        <f t="shared" si="25"/>
        <v>66999.999999999985</v>
      </c>
      <c r="AL56" s="204" t="s">
        <v>105</v>
      </c>
    </row>
    <row r="57" spans="1:38" ht="6" customHeight="1" x14ac:dyDescent="0.2">
      <c r="B57" s="151"/>
      <c r="C57" s="156"/>
      <c r="D57" s="155"/>
      <c r="E57" s="155"/>
      <c r="F57" s="156"/>
      <c r="G57" s="155"/>
      <c r="H57" s="155"/>
      <c r="I57" s="156"/>
      <c r="J57" s="155"/>
      <c r="K57" s="155"/>
      <c r="L57" s="156"/>
      <c r="M57" s="155"/>
      <c r="N57" s="155"/>
      <c r="O57" s="156"/>
      <c r="P57" s="155"/>
      <c r="Q57" s="155"/>
      <c r="R57" s="156"/>
      <c r="S57" s="170"/>
      <c r="T57" s="170"/>
      <c r="U57" s="156"/>
      <c r="V57" s="155"/>
      <c r="W57" s="155"/>
      <c r="X57" s="156"/>
      <c r="Y57" s="155"/>
      <c r="Z57" s="155"/>
      <c r="AA57" s="156"/>
      <c r="AB57" s="155"/>
      <c r="AC57" s="155"/>
      <c r="AD57" s="156"/>
      <c r="AE57" s="155"/>
      <c r="AF57" s="155"/>
      <c r="AG57" s="156"/>
      <c r="AH57" s="155"/>
      <c r="AI57" s="155"/>
      <c r="AJ57" s="186"/>
      <c r="AK57" s="156"/>
      <c r="AL57" s="151"/>
    </row>
    <row r="58" spans="1:38" s="189" customFormat="1" x14ac:dyDescent="0.2">
      <c r="A58" s="150"/>
      <c r="B58" s="187" t="s">
        <v>106</v>
      </c>
      <c r="C58" s="205">
        <f>C56+C38+C25+C41</f>
        <v>14922.009999999998</v>
      </c>
      <c r="F58" s="205">
        <f>F56+F38+F25+F41</f>
        <v>19445.53</v>
      </c>
      <c r="I58" s="205">
        <f>I56+I38+I25+I41</f>
        <v>10522.33</v>
      </c>
      <c r="L58" s="205">
        <f>L56+L38+L25+L41</f>
        <v>11358.65</v>
      </c>
      <c r="O58" s="205">
        <f>O56+O38+O25+O41</f>
        <v>10522.33</v>
      </c>
      <c r="R58" s="205">
        <f>R56+R38+R25+R41</f>
        <v>10522.33</v>
      </c>
      <c r="U58" s="205">
        <f>U56+U38+U25+U41</f>
        <v>10522.33</v>
      </c>
      <c r="X58" s="205">
        <f>X56+X38+X25+X41</f>
        <v>10522.33</v>
      </c>
      <c r="AA58" s="205">
        <f>AA56+AA38+AA25+AA41</f>
        <v>10522.33</v>
      </c>
      <c r="AD58" s="205">
        <f>AD56+AD38+AD25+AD41</f>
        <v>11358.65</v>
      </c>
      <c r="AG58" s="205">
        <f>AG56+AG38+AG25+AG41</f>
        <v>10522.33</v>
      </c>
      <c r="AJ58" s="206">
        <f>AJ56+AJ38+AJ25+AJ41</f>
        <v>246678.46999999997</v>
      </c>
      <c r="AK58" s="205">
        <f>SUM(C58:AJ58)</f>
        <v>377419.62</v>
      </c>
      <c r="AL58" s="187" t="s">
        <v>106</v>
      </c>
    </row>
    <row r="59" spans="1:38" ht="6" customHeight="1" x14ac:dyDescent="0.2">
      <c r="B59" s="151"/>
      <c r="C59" s="156"/>
      <c r="D59" s="155"/>
      <c r="E59" s="155"/>
      <c r="F59" s="156"/>
      <c r="G59" s="155"/>
      <c r="H59" s="155"/>
      <c r="I59" s="156"/>
      <c r="J59" s="155"/>
      <c r="K59" s="155"/>
      <c r="L59" s="156"/>
      <c r="M59" s="155"/>
      <c r="N59" s="155"/>
      <c r="O59" s="156"/>
      <c r="P59" s="155"/>
      <c r="Q59" s="155"/>
      <c r="R59" s="156"/>
      <c r="S59" s="170"/>
      <c r="T59" s="170"/>
      <c r="U59" s="156"/>
      <c r="V59" s="155"/>
      <c r="W59" s="155"/>
      <c r="X59" s="156"/>
      <c r="Y59" s="155"/>
      <c r="Z59" s="155"/>
      <c r="AA59" s="156"/>
      <c r="AB59" s="155"/>
      <c r="AC59" s="155"/>
      <c r="AD59" s="156"/>
      <c r="AE59" s="155"/>
      <c r="AF59" s="155"/>
      <c r="AG59" s="156"/>
      <c r="AH59" s="155"/>
      <c r="AI59" s="155"/>
      <c r="AJ59" s="186"/>
      <c r="AK59" s="156"/>
      <c r="AL59" s="151"/>
    </row>
    <row r="60" spans="1:38" s="189" customFormat="1" x14ac:dyDescent="0.2">
      <c r="A60" s="294" t="s">
        <v>107</v>
      </c>
      <c r="C60" s="205">
        <f>C3+C10-C58</f>
        <v>2042692.99</v>
      </c>
      <c r="F60" s="205">
        <f>F3+F10-F58</f>
        <v>2023247.46</v>
      </c>
      <c r="I60" s="205">
        <f>I3+I10-I58</f>
        <v>2012725.13</v>
      </c>
      <c r="L60" s="205">
        <f>L3+L10-L58</f>
        <v>2001366.48</v>
      </c>
      <c r="O60" s="205">
        <f>O3+O10-O58</f>
        <v>1990844.15</v>
      </c>
      <c r="R60" s="205">
        <f>R3+R10-R58</f>
        <v>1980321.8199999998</v>
      </c>
      <c r="S60" s="314"/>
      <c r="T60" s="314"/>
      <c r="U60" s="205">
        <f>U3+U10-U58</f>
        <v>1969799.4899999998</v>
      </c>
      <c r="X60" s="205">
        <f>X3+X10-X58</f>
        <v>1959277.1599999997</v>
      </c>
      <c r="AA60" s="205">
        <f>AA3+AA10-AA58</f>
        <v>1948754.8299999996</v>
      </c>
      <c r="AD60" s="205">
        <f>AD3+AD10-AD58</f>
        <v>1937396.1799999997</v>
      </c>
      <c r="AG60" s="205">
        <f>AG3+AG10-AG58</f>
        <v>1926873.8499999996</v>
      </c>
      <c r="AJ60" s="206">
        <f>AJ3+AJ10-AJ58</f>
        <v>1977688.9799999997</v>
      </c>
      <c r="AK60" s="205">
        <f>C3+AK10-AK58</f>
        <v>1977688.98</v>
      </c>
    </row>
  </sheetData>
  <printOptions horizontalCentered="1"/>
  <pageMargins left="0.25" right="0.25" top="0.25" bottom="0.25" header="0.3" footer="0.3"/>
  <pageSetup paperSize="5" scale="80" orientation="landscape" cellComments="asDisplayed" verticalDpi="1200" r:id="rId1"/>
  <headerFooter>
    <oddFooter>&amp;RPage &amp;P of &amp;N</oddFooter>
  </headerFooter>
  <colBreaks count="1" manualBreakCount="1">
    <brk id="19" max="59" man="1"/>
  </col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AN114"/>
  <sheetViews>
    <sheetView zoomScaleNormal="100" workbookViewId="0">
      <selection activeCell="I33" sqref="I33"/>
    </sheetView>
  </sheetViews>
  <sheetFormatPr defaultRowHeight="12.75" x14ac:dyDescent="0.2"/>
  <cols>
    <col min="1" max="1" width="9.28515625" style="150" customWidth="1"/>
    <col min="2" max="2" width="37" customWidth="1"/>
    <col min="3" max="3" width="13.28515625" style="295" customWidth="1"/>
    <col min="4" max="5" width="1.28515625" customWidth="1"/>
    <col min="6" max="6" width="13.28515625" style="295" customWidth="1"/>
    <col min="7" max="8" width="1.28515625" customWidth="1"/>
    <col min="9" max="9" width="13.28515625" style="295" customWidth="1"/>
    <col min="10" max="11" width="1.28515625" customWidth="1"/>
    <col min="12" max="12" width="13.28515625" style="295" customWidth="1"/>
    <col min="13" max="14" width="1.28515625" customWidth="1"/>
    <col min="15" max="15" width="13.28515625" style="295" customWidth="1"/>
    <col min="16" max="17" width="1.28515625" customWidth="1"/>
    <col min="18" max="18" width="13.28515625" style="295" customWidth="1"/>
    <col min="19" max="20" width="1.28515625" customWidth="1"/>
    <col min="21" max="21" width="13.28515625" style="208" customWidth="1"/>
    <col min="22" max="23" width="1.28515625" style="207" customWidth="1"/>
    <col min="24" max="24" width="13.28515625" style="208" customWidth="1"/>
    <col min="25" max="26" width="1.28515625" style="207" customWidth="1"/>
    <col min="27" max="27" width="13.28515625" style="208" customWidth="1"/>
    <col min="28" max="29" width="1.28515625" style="207" customWidth="1"/>
    <col min="30" max="30" width="13.28515625" style="208" customWidth="1"/>
    <col min="31" max="32" width="1.28515625" style="207" customWidth="1"/>
    <col min="33" max="33" width="13.28515625" style="208" customWidth="1"/>
    <col min="34" max="35" width="1.28515625" style="207" customWidth="1"/>
    <col min="36" max="36" width="13.28515625" style="208" customWidth="1"/>
    <col min="37" max="37" width="14.42578125" customWidth="1"/>
    <col min="38" max="38" width="37" style="316" customWidth="1"/>
    <col min="40" max="40" width="12.28515625" bestFit="1" customWidth="1"/>
  </cols>
  <sheetData>
    <row r="1" spans="1:40" s="149" customFormat="1" x14ac:dyDescent="0.2">
      <c r="A1" s="577"/>
      <c r="B1" s="578" t="s">
        <v>65</v>
      </c>
      <c r="C1" s="579" t="s">
        <v>135</v>
      </c>
      <c r="D1" s="580"/>
      <c r="E1" s="580"/>
      <c r="F1" s="579" t="s">
        <v>136</v>
      </c>
      <c r="G1" s="580"/>
      <c r="H1" s="580"/>
      <c r="I1" s="579" t="s">
        <v>137</v>
      </c>
      <c r="J1" s="580"/>
      <c r="K1" s="580"/>
      <c r="L1" s="579" t="s">
        <v>138</v>
      </c>
      <c r="M1" s="580"/>
      <c r="N1" s="580"/>
      <c r="O1" s="579" t="s">
        <v>139</v>
      </c>
      <c r="P1" s="580"/>
      <c r="Q1" s="580"/>
      <c r="R1" s="581" t="s">
        <v>140</v>
      </c>
      <c r="S1" s="582"/>
      <c r="T1" s="582"/>
      <c r="U1" s="579" t="s">
        <v>141</v>
      </c>
      <c r="V1" s="580"/>
      <c r="W1" s="580"/>
      <c r="X1" s="579" t="s">
        <v>142</v>
      </c>
      <c r="Y1" s="580"/>
      <c r="Z1" s="580"/>
      <c r="AA1" s="579" t="s">
        <v>143</v>
      </c>
      <c r="AB1" s="580"/>
      <c r="AC1" s="580"/>
      <c r="AD1" s="579" t="s">
        <v>144</v>
      </c>
      <c r="AE1" s="580"/>
      <c r="AF1" s="580"/>
      <c r="AG1" s="579" t="s">
        <v>145</v>
      </c>
      <c r="AH1" s="580"/>
      <c r="AI1" s="580"/>
      <c r="AJ1" s="579" t="s">
        <v>146</v>
      </c>
      <c r="AK1" s="580" t="s">
        <v>118</v>
      </c>
      <c r="AL1" s="315" t="s">
        <v>65</v>
      </c>
    </row>
    <row r="2" spans="1:40" ht="38.25" x14ac:dyDescent="0.2">
      <c r="A2" s="577"/>
      <c r="B2" s="583" t="s">
        <v>283</v>
      </c>
      <c r="C2" s="584"/>
      <c r="D2" s="585"/>
      <c r="E2" s="585"/>
      <c r="F2" s="579"/>
      <c r="G2" s="585"/>
      <c r="H2" s="585"/>
      <c r="I2" s="584"/>
      <c r="J2" s="585"/>
      <c r="K2" s="585"/>
      <c r="L2" s="584"/>
      <c r="M2" s="585"/>
      <c r="N2" s="585"/>
      <c r="O2" s="584"/>
      <c r="P2" s="585"/>
      <c r="Q2" s="585"/>
      <c r="R2" s="586"/>
      <c r="S2" s="587"/>
      <c r="T2" s="587"/>
      <c r="U2" s="579"/>
      <c r="V2" s="585"/>
      <c r="W2" s="585"/>
      <c r="X2" s="584"/>
      <c r="Y2" s="585"/>
      <c r="Z2" s="585"/>
      <c r="AA2" s="579"/>
      <c r="AB2" s="585"/>
      <c r="AC2" s="585"/>
      <c r="AD2" s="579"/>
      <c r="AE2" s="585"/>
      <c r="AF2" s="585"/>
      <c r="AG2" s="584"/>
      <c r="AH2" s="585"/>
      <c r="AI2" s="585"/>
      <c r="AJ2" s="579"/>
      <c r="AK2" s="588"/>
      <c r="AL2" s="164" t="s">
        <v>283</v>
      </c>
      <c r="AM2" s="155"/>
    </row>
    <row r="3" spans="1:40" x14ac:dyDescent="0.2">
      <c r="A3" s="150" t="s">
        <v>92</v>
      </c>
      <c r="B3" s="151"/>
      <c r="C3" s="156">
        <v>140889.06</v>
      </c>
      <c r="D3" s="155"/>
      <c r="E3" s="155"/>
      <c r="F3" s="156">
        <f>C3+C7-C30</f>
        <v>146106.13999999998</v>
      </c>
      <c r="G3" s="155"/>
      <c r="H3" s="155"/>
      <c r="I3" s="156">
        <f>F3+F7-F30</f>
        <v>150737.78999999998</v>
      </c>
      <c r="J3" s="155"/>
      <c r="K3" s="155"/>
      <c r="L3" s="156">
        <f>I3+I7-I30</f>
        <v>155369.43999999997</v>
      </c>
      <c r="M3" s="155"/>
      <c r="N3" s="155"/>
      <c r="O3" s="156">
        <f>L3+L7-L30</f>
        <v>159262.49999999997</v>
      </c>
      <c r="P3" s="155"/>
      <c r="Q3" s="155"/>
      <c r="R3" s="158">
        <f>O3+O7-O30</f>
        <v>163981.99999999997</v>
      </c>
      <c r="S3" s="170"/>
      <c r="T3" s="170"/>
      <c r="U3" s="156">
        <f>R3+R7-R30</f>
        <v>168701.49999999997</v>
      </c>
      <c r="V3" s="155"/>
      <c r="W3" s="155"/>
      <c r="X3" s="156">
        <f>U3+U7-U30</f>
        <v>173420.99999999997</v>
      </c>
      <c r="Y3" s="155"/>
      <c r="Z3" s="155"/>
      <c r="AA3" s="156">
        <f>X3+X7-X30</f>
        <v>178140.49999999997</v>
      </c>
      <c r="AB3" s="155"/>
      <c r="AC3" s="155"/>
      <c r="AD3" s="156">
        <f>AA3+AA7-AA30</f>
        <v>182859.99999999997</v>
      </c>
      <c r="AE3" s="155"/>
      <c r="AF3" s="155"/>
      <c r="AG3" s="156">
        <f>AD3+AD7-AD30</f>
        <v>186753.05999999997</v>
      </c>
      <c r="AH3" s="155"/>
      <c r="AI3" s="155"/>
      <c r="AJ3" s="156">
        <f>AG3+AG7-AG30</f>
        <v>191472.55999999997</v>
      </c>
      <c r="AK3" s="155"/>
      <c r="AL3" s="164"/>
      <c r="AM3" s="155"/>
    </row>
    <row r="4" spans="1:40" ht="6" customHeight="1" x14ac:dyDescent="0.2">
      <c r="B4" s="151"/>
      <c r="C4" s="156"/>
      <c r="D4" s="155"/>
      <c r="E4" s="155"/>
      <c r="F4" s="156"/>
      <c r="G4" s="155"/>
      <c r="H4" s="155"/>
      <c r="I4" s="156"/>
      <c r="J4" s="155"/>
      <c r="K4" s="155"/>
      <c r="L4" s="156"/>
      <c r="M4" s="155"/>
      <c r="N4" s="155"/>
      <c r="O4" s="156"/>
      <c r="P4" s="155"/>
      <c r="Q4" s="155"/>
      <c r="R4" s="161"/>
      <c r="S4" s="170"/>
      <c r="T4" s="170"/>
      <c r="U4" s="156"/>
      <c r="V4" s="155"/>
      <c r="W4" s="155"/>
      <c r="X4" s="156"/>
      <c r="Y4" s="155"/>
      <c r="Z4" s="155"/>
      <c r="AA4" s="156"/>
      <c r="AB4" s="155"/>
      <c r="AC4" s="155"/>
      <c r="AD4" s="156"/>
      <c r="AE4" s="155"/>
      <c r="AF4" s="155"/>
      <c r="AG4" s="156"/>
      <c r="AH4" s="155"/>
      <c r="AI4" s="155"/>
      <c r="AJ4" s="156"/>
      <c r="AK4" s="155"/>
      <c r="AL4" s="164"/>
      <c r="AM4" s="155"/>
    </row>
    <row r="5" spans="1:40" ht="15" x14ac:dyDescent="0.2">
      <c r="A5" s="165" t="s">
        <v>93</v>
      </c>
      <c r="B5" s="151"/>
      <c r="C5" s="156"/>
      <c r="D5" s="155"/>
      <c r="E5" s="155"/>
      <c r="F5" s="156"/>
      <c r="G5" s="155"/>
      <c r="H5" s="155"/>
      <c r="I5" s="156"/>
      <c r="J5" s="155"/>
      <c r="K5" s="155"/>
      <c r="L5" s="156"/>
      <c r="M5" s="155"/>
      <c r="N5" s="155"/>
      <c r="O5" s="156"/>
      <c r="P5" s="155"/>
      <c r="Q5" s="155"/>
      <c r="R5" s="161"/>
      <c r="S5" s="170"/>
      <c r="T5" s="170"/>
      <c r="U5" s="156"/>
      <c r="V5" s="155"/>
      <c r="W5" s="155"/>
      <c r="X5" s="156"/>
      <c r="Y5" s="155"/>
      <c r="Z5" s="155"/>
      <c r="AA5" s="156"/>
      <c r="AB5" s="155"/>
      <c r="AC5" s="155"/>
      <c r="AD5" s="156"/>
      <c r="AE5" s="155"/>
      <c r="AF5" s="155"/>
      <c r="AG5" s="156"/>
      <c r="AH5" s="155"/>
      <c r="AI5" s="155"/>
      <c r="AJ5" s="156"/>
      <c r="AK5" s="155"/>
      <c r="AL5" s="164"/>
      <c r="AM5" s="155"/>
    </row>
    <row r="6" spans="1:40" ht="15" x14ac:dyDescent="0.2">
      <c r="A6" s="165" t="s">
        <v>207</v>
      </c>
      <c r="B6" t="s">
        <v>208</v>
      </c>
      <c r="C6" s="300">
        <f>ROUND(144842.88/12,2)</f>
        <v>12070.24</v>
      </c>
      <c r="F6" s="300">
        <f>ROUND(144842.88/12,2)</f>
        <v>12070.24</v>
      </c>
      <c r="I6" s="300">
        <f t="shared" ref="I6" si="0">ROUND(144842.88/12,2)</f>
        <v>12070.24</v>
      </c>
      <c r="L6" s="300">
        <f t="shared" ref="L6" si="1">ROUND(144842.88/12,2)</f>
        <v>12070.24</v>
      </c>
      <c r="O6" s="300">
        <f t="shared" ref="O6" si="2">ROUND(144842.88/12,2)</f>
        <v>12070.24</v>
      </c>
      <c r="R6" s="300">
        <f t="shared" ref="R6" si="3">ROUND(144842.88/12,2)</f>
        <v>12070.24</v>
      </c>
      <c r="U6" s="300">
        <f t="shared" ref="U6" si="4">ROUND(144842.88/12,2)</f>
        <v>12070.24</v>
      </c>
      <c r="V6"/>
      <c r="W6"/>
      <c r="X6" s="300">
        <f t="shared" ref="X6" si="5">ROUND(144842.88/12,2)</f>
        <v>12070.24</v>
      </c>
      <c r="Y6"/>
      <c r="Z6"/>
      <c r="AA6" s="300">
        <f t="shared" ref="AA6" si="6">ROUND(144842.88/12,2)</f>
        <v>12070.24</v>
      </c>
      <c r="AB6"/>
      <c r="AC6"/>
      <c r="AD6" s="300">
        <f t="shared" ref="AD6" si="7">ROUND(144842.88/12,2)</f>
        <v>12070.24</v>
      </c>
      <c r="AE6"/>
      <c r="AF6"/>
      <c r="AG6" s="300">
        <f t="shared" ref="AG6" si="8">ROUND(144842.88/12,2)</f>
        <v>12070.24</v>
      </c>
      <c r="AH6"/>
      <c r="AI6"/>
      <c r="AJ6" s="300">
        <f t="shared" ref="AJ6" si="9">ROUND(144842.88/12,2)</f>
        <v>12070.24</v>
      </c>
      <c r="AK6" s="156">
        <f>SUM(C6:AJ6)</f>
        <v>144842.88</v>
      </c>
      <c r="AL6" s="316" t="s">
        <v>208</v>
      </c>
      <c r="AM6" s="155"/>
      <c r="AN6" s="295"/>
    </row>
    <row r="7" spans="1:40" s="189" customFormat="1" x14ac:dyDescent="0.2">
      <c r="A7" s="150"/>
      <c r="B7" s="187" t="s">
        <v>152</v>
      </c>
      <c r="C7" s="167">
        <f>SUM(C6:C6)</f>
        <v>12070.24</v>
      </c>
      <c r="D7" s="149"/>
      <c r="E7" s="149"/>
      <c r="F7" s="167">
        <f>SUM(F6:F6)</f>
        <v>12070.24</v>
      </c>
      <c r="G7" s="149"/>
      <c r="H7" s="149"/>
      <c r="I7" s="167">
        <f>SUM(I6:I6)</f>
        <v>12070.24</v>
      </c>
      <c r="J7" s="149"/>
      <c r="K7" s="149"/>
      <c r="L7" s="167">
        <f>SUM(L6:L6)</f>
        <v>12070.24</v>
      </c>
      <c r="M7" s="149"/>
      <c r="N7" s="149"/>
      <c r="O7" s="167">
        <f>SUM(O6:O6)</f>
        <v>12070.24</v>
      </c>
      <c r="P7" s="149"/>
      <c r="Q7" s="149"/>
      <c r="R7" s="317">
        <f>SUM(R6:R6)</f>
        <v>12070.24</v>
      </c>
      <c r="S7" s="313"/>
      <c r="T7" s="313"/>
      <c r="U7" s="167">
        <f>SUM(U6:U6)</f>
        <v>12070.24</v>
      </c>
      <c r="V7" s="149"/>
      <c r="W7" s="149"/>
      <c r="X7" s="167">
        <f>SUM(X6:X6)</f>
        <v>12070.24</v>
      </c>
      <c r="Y7" s="149"/>
      <c r="Z7" s="149"/>
      <c r="AA7" s="167">
        <f>SUM(AA6:AA6)</f>
        <v>12070.24</v>
      </c>
      <c r="AB7" s="149"/>
      <c r="AC7" s="149"/>
      <c r="AD7" s="167">
        <f>SUM(AD6:AD6)</f>
        <v>12070.24</v>
      </c>
      <c r="AE7" s="149"/>
      <c r="AF7" s="149"/>
      <c r="AG7" s="167">
        <f>SUM(AG6:AG6)</f>
        <v>12070.24</v>
      </c>
      <c r="AH7" s="149"/>
      <c r="AI7" s="149"/>
      <c r="AJ7" s="167">
        <f>SUM(AJ6:AJ6)</f>
        <v>12070.24</v>
      </c>
      <c r="AK7" s="167">
        <f>SUM(C7:AJ7)</f>
        <v>144842.88</v>
      </c>
      <c r="AL7" s="164" t="s">
        <v>152</v>
      </c>
      <c r="AM7" s="149"/>
    </row>
    <row r="8" spans="1:40" ht="6" customHeight="1" x14ac:dyDescent="0.2">
      <c r="B8" s="151"/>
      <c r="C8" s="156"/>
      <c r="D8" s="155"/>
      <c r="E8" s="155"/>
      <c r="F8" s="156"/>
      <c r="G8" s="155"/>
      <c r="H8" s="155"/>
      <c r="I8" s="156"/>
      <c r="J8" s="155"/>
      <c r="K8" s="155"/>
      <c r="L8" s="156"/>
      <c r="M8" s="155"/>
      <c r="N8" s="155"/>
      <c r="O8" s="156"/>
      <c r="P8" s="155"/>
      <c r="Q8" s="155"/>
      <c r="R8" s="161"/>
      <c r="S8" s="170"/>
      <c r="T8" s="170"/>
      <c r="U8" s="156"/>
      <c r="V8" s="155"/>
      <c r="W8" s="155"/>
      <c r="X8" s="156"/>
      <c r="Y8" s="155"/>
      <c r="Z8" s="155"/>
      <c r="AA8" s="156"/>
      <c r="AB8" s="155"/>
      <c r="AC8" s="155"/>
      <c r="AD8" s="156"/>
      <c r="AE8" s="155"/>
      <c r="AF8" s="155"/>
      <c r="AG8" s="156"/>
      <c r="AH8" s="155"/>
      <c r="AI8" s="155"/>
      <c r="AJ8" s="156"/>
      <c r="AK8" s="155"/>
      <c r="AL8" s="164"/>
      <c r="AM8" s="155"/>
    </row>
    <row r="9" spans="1:40" ht="6" customHeight="1" x14ac:dyDescent="0.2">
      <c r="B9" s="151"/>
      <c r="C9" s="156"/>
      <c r="D9" s="155"/>
      <c r="E9" s="155"/>
      <c r="F9" s="156"/>
      <c r="G9" s="155"/>
      <c r="H9" s="155"/>
      <c r="I9" s="156"/>
      <c r="J9" s="155"/>
      <c r="K9" s="155"/>
      <c r="L9" s="156"/>
      <c r="M9" s="155"/>
      <c r="N9" s="155"/>
      <c r="O9" s="156"/>
      <c r="P9" s="155"/>
      <c r="Q9" s="155"/>
      <c r="R9" s="161"/>
      <c r="S9" s="170"/>
      <c r="T9" s="170"/>
      <c r="U9" s="156"/>
      <c r="V9" s="155"/>
      <c r="W9" s="155"/>
      <c r="X9" s="156"/>
      <c r="Y9" s="155"/>
      <c r="Z9" s="155"/>
      <c r="AA9" s="156"/>
      <c r="AB9" s="155"/>
      <c r="AC9" s="155"/>
      <c r="AD9" s="156"/>
      <c r="AE9" s="155"/>
      <c r="AF9" s="155"/>
      <c r="AG9" s="156"/>
      <c r="AH9" s="155"/>
      <c r="AI9" s="155"/>
      <c r="AJ9" s="156"/>
      <c r="AK9" s="155"/>
      <c r="AL9" s="164"/>
      <c r="AM9" s="155"/>
    </row>
    <row r="10" spans="1:40" ht="15" x14ac:dyDescent="0.2">
      <c r="A10" s="165" t="s">
        <v>94</v>
      </c>
      <c r="B10" s="155"/>
      <c r="C10" s="156"/>
      <c r="D10" s="155"/>
      <c r="E10" s="155"/>
      <c r="F10" s="156"/>
      <c r="G10" s="155"/>
      <c r="H10" s="155"/>
      <c r="I10" s="156"/>
      <c r="J10" s="155"/>
      <c r="K10" s="155"/>
      <c r="L10" s="156"/>
      <c r="M10" s="155"/>
      <c r="N10" s="155"/>
      <c r="O10" s="156"/>
      <c r="P10" s="155"/>
      <c r="Q10" s="155"/>
      <c r="R10" s="161"/>
      <c r="S10" s="170"/>
      <c r="T10" s="170"/>
      <c r="U10" s="156"/>
      <c r="V10" s="155"/>
      <c r="W10" s="155"/>
      <c r="X10" s="156"/>
      <c r="Y10" s="155"/>
      <c r="Z10" s="155"/>
      <c r="AA10" s="156"/>
      <c r="AB10" s="155"/>
      <c r="AC10" s="155"/>
      <c r="AD10" s="156"/>
      <c r="AE10" s="155"/>
      <c r="AF10" s="155"/>
      <c r="AG10" s="156"/>
      <c r="AH10" s="155"/>
      <c r="AI10" s="155"/>
      <c r="AJ10" s="156"/>
      <c r="AK10" s="156"/>
      <c r="AL10" s="318"/>
      <c r="AM10" s="155"/>
    </row>
    <row r="11" spans="1:40" ht="22.5" x14ac:dyDescent="0.2">
      <c r="A11" s="303" t="s">
        <v>209</v>
      </c>
      <c r="B11" s="155"/>
      <c r="C11" s="156"/>
      <c r="D11" s="155"/>
      <c r="E11" s="155"/>
      <c r="F11" s="156"/>
      <c r="G11" s="155"/>
      <c r="H11" s="155"/>
      <c r="I11" s="156"/>
      <c r="J11" s="155"/>
      <c r="K11" s="155"/>
      <c r="L11" s="156"/>
      <c r="M11" s="155"/>
      <c r="N11" s="155"/>
      <c r="O11" s="156"/>
      <c r="P11" s="155"/>
      <c r="Q11" s="155"/>
      <c r="R11" s="161"/>
      <c r="S11" s="170"/>
      <c r="T11" s="170"/>
      <c r="U11" s="156"/>
      <c r="V11" s="155"/>
      <c r="W11" s="155"/>
      <c r="X11" s="156"/>
      <c r="Y11" s="155"/>
      <c r="Z11" s="155"/>
      <c r="AA11" s="156"/>
      <c r="AB11" s="155"/>
      <c r="AC11" s="155"/>
      <c r="AD11" s="156"/>
      <c r="AE11" s="155"/>
      <c r="AF11" s="155"/>
      <c r="AG11" s="156"/>
      <c r="AH11" s="155"/>
      <c r="AI11" s="155"/>
      <c r="AJ11" s="156"/>
      <c r="AK11" s="156"/>
      <c r="AL11" s="318"/>
      <c r="AM11" s="155"/>
    </row>
    <row r="12" spans="1:40" s="155" customFormat="1" x14ac:dyDescent="0.2">
      <c r="A12" s="319" t="s">
        <v>95</v>
      </c>
      <c r="B12" s="149"/>
      <c r="C12" s="156"/>
      <c r="F12" s="156"/>
      <c r="I12" s="156"/>
      <c r="L12" s="156"/>
      <c r="O12" s="156"/>
      <c r="R12" s="161"/>
      <c r="S12" s="170"/>
      <c r="T12" s="170"/>
      <c r="U12" s="156"/>
      <c r="X12" s="156"/>
      <c r="AA12" s="156"/>
      <c r="AD12" s="156"/>
      <c r="AG12" s="156"/>
      <c r="AJ12" s="156"/>
      <c r="AK12" s="156"/>
      <c r="AL12" s="315"/>
    </row>
    <row r="13" spans="1:40" s="174" customFormat="1" x14ac:dyDescent="0.2">
      <c r="A13" s="178" t="s">
        <v>154</v>
      </c>
      <c r="B13" s="174" t="s">
        <v>262</v>
      </c>
      <c r="C13" s="179">
        <f>'Chair FY11'!F15</f>
        <v>2383.2600000000002</v>
      </c>
      <c r="D13" s="179"/>
      <c r="E13" s="179"/>
      <c r="F13" s="179">
        <f>'Chair FY11'!J15</f>
        <v>2383.2600000000002</v>
      </c>
      <c r="G13" s="179"/>
      <c r="H13" s="179"/>
      <c r="I13" s="179">
        <f>'Chair FY11'!N15</f>
        <v>2383.2600000000002</v>
      </c>
      <c r="J13" s="179"/>
      <c r="K13" s="179"/>
      <c r="L13" s="179">
        <f>'Chair FY11'!S15</f>
        <v>2383.2600000000002</v>
      </c>
      <c r="M13" s="179"/>
      <c r="N13" s="179"/>
      <c r="O13" s="179">
        <f>'Chair FY11'!W15</f>
        <v>2383.2600000000002</v>
      </c>
      <c r="P13" s="179"/>
      <c r="Q13" s="179"/>
      <c r="R13" s="179">
        <f>'Chair FY11'!AA15</f>
        <v>2383.2600000000002</v>
      </c>
      <c r="S13" s="179"/>
      <c r="T13" s="179"/>
      <c r="U13" s="179">
        <f>'Chair FY11'!AF15</f>
        <v>2383.2600000000002</v>
      </c>
      <c r="V13" s="179"/>
      <c r="W13" s="179"/>
      <c r="X13" s="179">
        <f>'Chair FY11'!AJ15</f>
        <v>2383.2600000000002</v>
      </c>
      <c r="Y13" s="179"/>
      <c r="Z13" s="179"/>
      <c r="AA13" s="179">
        <f>'Chair FY11'!AN15</f>
        <v>2383.2600000000002</v>
      </c>
      <c r="AB13" s="179"/>
      <c r="AC13" s="179"/>
      <c r="AD13" s="179">
        <f>'Chair FY11'!AS15</f>
        <v>2383.2600000000002</v>
      </c>
      <c r="AE13" s="179"/>
      <c r="AF13" s="179"/>
      <c r="AG13" s="179">
        <f>'Chair FY11'!AW15</f>
        <v>2383.2600000000002</v>
      </c>
      <c r="AH13" s="179"/>
      <c r="AI13" s="179"/>
      <c r="AJ13" s="179">
        <f>'Chair FY11'!BA15</f>
        <v>2383.2600000000002</v>
      </c>
      <c r="AK13" s="310">
        <f>SUM(C13:AJ13)</f>
        <v>28599.12000000001</v>
      </c>
      <c r="AL13" s="320" t="s">
        <v>262</v>
      </c>
    </row>
    <row r="14" spans="1:40" s="174" customFormat="1" x14ac:dyDescent="0.2">
      <c r="A14" s="178" t="s">
        <v>154</v>
      </c>
      <c r="B14" s="174" t="s">
        <v>279</v>
      </c>
      <c r="C14" s="179">
        <f>'Chair FY11'!F25</f>
        <v>2156.85</v>
      </c>
      <c r="D14" s="179"/>
      <c r="E14" s="179"/>
      <c r="F14" s="179">
        <f>'Chair FY11'!J25</f>
        <v>2156.85</v>
      </c>
      <c r="G14" s="179"/>
      <c r="H14" s="179"/>
      <c r="I14" s="179">
        <f>'Chair FY11'!N25</f>
        <v>2156.85</v>
      </c>
      <c r="J14" s="179"/>
      <c r="K14" s="179"/>
      <c r="L14" s="179">
        <f>'Chair FY11'!S25</f>
        <v>2156.85</v>
      </c>
      <c r="M14" s="179"/>
      <c r="N14" s="179"/>
      <c r="O14" s="179">
        <f>'Chair FY11'!W25</f>
        <v>2156.85</v>
      </c>
      <c r="P14" s="179"/>
      <c r="Q14" s="179"/>
      <c r="R14" s="179">
        <f>'Chair FY11'!AA25</f>
        <v>2156.85</v>
      </c>
      <c r="S14" s="179"/>
      <c r="T14" s="179"/>
      <c r="U14" s="179">
        <f>'Chair FY11'!AF25</f>
        <v>2156.85</v>
      </c>
      <c r="V14" s="179"/>
      <c r="W14" s="179"/>
      <c r="X14" s="179">
        <f>'Chair FY11'!AJ25</f>
        <v>2156.85</v>
      </c>
      <c r="Y14" s="179"/>
      <c r="Z14" s="179"/>
      <c r="AA14" s="179">
        <f>'Chair FY11'!AN25</f>
        <v>2156.85</v>
      </c>
      <c r="AB14" s="179"/>
      <c r="AC14" s="179"/>
      <c r="AD14" s="179">
        <f>'Chair FY11'!AS25</f>
        <v>2156.85</v>
      </c>
      <c r="AE14" s="179"/>
      <c r="AF14" s="179"/>
      <c r="AG14" s="179">
        <f>'Chair FY11'!AW25</f>
        <v>2156.85</v>
      </c>
      <c r="AH14" s="179"/>
      <c r="AI14" s="179"/>
      <c r="AJ14" s="179">
        <f>'Chair FY11'!BA25</f>
        <v>2156.85</v>
      </c>
      <c r="AK14" s="310">
        <f>SUM(C14:AJ14)</f>
        <v>25882.199999999993</v>
      </c>
      <c r="AL14" s="320" t="s">
        <v>279</v>
      </c>
    </row>
    <row r="15" spans="1:40" s="176" customFormat="1" x14ac:dyDescent="0.2">
      <c r="A15" s="177" t="s">
        <v>210</v>
      </c>
      <c r="B15" s="176" t="str">
        <f>'Staff Salary Dist'!A22</f>
        <v>Annie Administrator</v>
      </c>
      <c r="C15" s="180">
        <f>'Staff Salary Dist'!E23</f>
        <v>856.08</v>
      </c>
      <c r="D15" s="180"/>
      <c r="E15" s="180"/>
      <c r="F15" s="180">
        <f>'Staff Salary Dist'!H23</f>
        <v>1317.05</v>
      </c>
      <c r="G15" s="180"/>
      <c r="H15" s="180"/>
      <c r="I15" s="180">
        <f>'Staff Salary Dist'!K23</f>
        <v>1317.05</v>
      </c>
      <c r="J15" s="180"/>
      <c r="K15" s="180"/>
      <c r="L15" s="180">
        <f>'Staff Salary Dist'!N23</f>
        <v>1975.57</v>
      </c>
      <c r="M15" s="180"/>
      <c r="N15" s="180"/>
      <c r="O15" s="180">
        <f>'Staff Salary Dist'!Q23</f>
        <v>1317.05</v>
      </c>
      <c r="P15" s="180"/>
      <c r="Q15" s="180"/>
      <c r="R15" s="180">
        <f>'Staff Salary Dist'!T23</f>
        <v>1317.05</v>
      </c>
      <c r="S15" s="180"/>
      <c r="T15" s="180"/>
      <c r="U15" s="180">
        <f>'Staff Salary Dist'!W23</f>
        <v>1317.05</v>
      </c>
      <c r="V15" s="180"/>
      <c r="W15" s="180"/>
      <c r="X15" s="180">
        <f>'Staff Salary Dist'!Z23</f>
        <v>1317.05</v>
      </c>
      <c r="Y15" s="180"/>
      <c r="Z15" s="180"/>
      <c r="AA15" s="180">
        <f>'Staff Salary Dist'!AC23</f>
        <v>1317.05</v>
      </c>
      <c r="AB15" s="180"/>
      <c r="AC15" s="180"/>
      <c r="AD15" s="180">
        <f>'Staff Salary Dist'!AF23</f>
        <v>1975.57</v>
      </c>
      <c r="AE15" s="180"/>
      <c r="AF15" s="180"/>
      <c r="AG15" s="180">
        <f>'Staff Salary Dist'!AI23</f>
        <v>1317.05</v>
      </c>
      <c r="AH15" s="180"/>
      <c r="AI15" s="180"/>
      <c r="AJ15" s="180">
        <f>'Staff Salary Dist'!AL23</f>
        <v>1975.57</v>
      </c>
      <c r="AK15" s="312">
        <f>SUM(C15:AJ15)</f>
        <v>17319.189999999999</v>
      </c>
      <c r="AL15" s="321" t="s">
        <v>214</v>
      </c>
    </row>
    <row r="16" spans="1:40" ht="6" customHeight="1" x14ac:dyDescent="0.2">
      <c r="B16" s="151"/>
      <c r="C16" s="156"/>
      <c r="D16" s="155"/>
      <c r="E16" s="155"/>
      <c r="F16" s="156"/>
      <c r="G16" s="155"/>
      <c r="H16" s="155"/>
      <c r="I16" s="156"/>
      <c r="J16" s="155"/>
      <c r="K16" s="155"/>
      <c r="L16" s="156"/>
      <c r="M16" s="155"/>
      <c r="N16" s="155"/>
      <c r="O16" s="156"/>
      <c r="P16" s="155"/>
      <c r="Q16" s="155"/>
      <c r="R16" s="161"/>
      <c r="S16" s="170"/>
      <c r="T16" s="170"/>
      <c r="U16" s="156"/>
      <c r="V16" s="155"/>
      <c r="W16" s="155"/>
      <c r="X16" s="156"/>
      <c r="Y16" s="155"/>
      <c r="Z16" s="155"/>
      <c r="AA16" s="156"/>
      <c r="AB16" s="155"/>
      <c r="AC16" s="155"/>
      <c r="AD16" s="156"/>
      <c r="AE16" s="155"/>
      <c r="AF16" s="155"/>
      <c r="AG16" s="156"/>
      <c r="AH16" s="155"/>
      <c r="AI16" s="155"/>
      <c r="AJ16" s="156"/>
      <c r="AK16" s="155"/>
      <c r="AL16" s="164"/>
      <c r="AM16" s="155"/>
    </row>
    <row r="17" spans="1:39" s="174" customFormat="1" x14ac:dyDescent="0.2">
      <c r="B17" s="309" t="s">
        <v>97</v>
      </c>
      <c r="C17" s="179">
        <f>SUM(C13:C14)</f>
        <v>4540.1100000000006</v>
      </c>
      <c r="D17" s="179"/>
      <c r="E17" s="179"/>
      <c r="F17" s="179">
        <f>SUM(F13:F14)</f>
        <v>4540.1100000000006</v>
      </c>
      <c r="G17" s="179"/>
      <c r="H17" s="179"/>
      <c r="I17" s="179">
        <f t="shared" ref="I17" si="10">SUM(I13:I14)</f>
        <v>4540.1100000000006</v>
      </c>
      <c r="J17" s="179"/>
      <c r="K17" s="179"/>
      <c r="L17" s="179">
        <f t="shared" ref="L17" si="11">SUM(L13:L14)</f>
        <v>4540.1100000000006</v>
      </c>
      <c r="M17" s="179"/>
      <c r="N17" s="179"/>
      <c r="O17" s="179">
        <f t="shared" ref="O17" si="12">SUM(O13:O14)</f>
        <v>4540.1100000000006</v>
      </c>
      <c r="P17" s="179"/>
      <c r="Q17" s="179"/>
      <c r="R17" s="179">
        <f t="shared" ref="R17" si="13">SUM(R13:R14)</f>
        <v>4540.1100000000006</v>
      </c>
      <c r="S17" s="179"/>
      <c r="T17" s="179"/>
      <c r="U17" s="179">
        <f t="shared" ref="U17" si="14">SUM(U13:U14)</f>
        <v>4540.1100000000006</v>
      </c>
      <c r="V17" s="179"/>
      <c r="W17" s="179"/>
      <c r="X17" s="179">
        <f t="shared" ref="X17" si="15">SUM(X13:X14)</f>
        <v>4540.1100000000006</v>
      </c>
      <c r="Y17" s="179"/>
      <c r="Z17" s="179"/>
      <c r="AA17" s="179">
        <f t="shared" ref="AA17" si="16">SUM(AA13:AA14)</f>
        <v>4540.1100000000006</v>
      </c>
      <c r="AB17" s="179"/>
      <c r="AC17" s="179"/>
      <c r="AD17" s="179">
        <f t="shared" ref="AD17" si="17">SUM(AD13:AD14)</f>
        <v>4540.1100000000006</v>
      </c>
      <c r="AE17" s="179"/>
      <c r="AF17" s="179"/>
      <c r="AG17" s="179">
        <f t="shared" ref="AG17" si="18">SUM(AG13:AG14)</f>
        <v>4540.1100000000006</v>
      </c>
      <c r="AH17" s="179"/>
      <c r="AI17" s="179"/>
      <c r="AJ17" s="179">
        <f t="shared" ref="AJ17" si="19">SUM(AJ13:AJ14)</f>
        <v>4540.1100000000006</v>
      </c>
      <c r="AK17" s="310">
        <f>SUM(C17:AJ17)</f>
        <v>54481.320000000007</v>
      </c>
      <c r="AL17" s="437" t="s">
        <v>97</v>
      </c>
    </row>
    <row r="18" spans="1:39" s="176" customFormat="1" x14ac:dyDescent="0.2">
      <c r="B18" s="311" t="s">
        <v>98</v>
      </c>
      <c r="C18" s="180">
        <f>SUM(C15:C16)</f>
        <v>856.08</v>
      </c>
      <c r="D18" s="180"/>
      <c r="E18" s="180"/>
      <c r="F18" s="180">
        <f>SUM(F15:F16)</f>
        <v>1317.05</v>
      </c>
      <c r="G18" s="180"/>
      <c r="H18" s="180"/>
      <c r="I18" s="180">
        <f>SUM(I15:I16)</f>
        <v>1317.05</v>
      </c>
      <c r="J18" s="180"/>
      <c r="K18" s="180"/>
      <c r="L18" s="180">
        <f>SUM(L15:L16)</f>
        <v>1975.57</v>
      </c>
      <c r="M18" s="180"/>
      <c r="N18" s="180"/>
      <c r="O18" s="180">
        <f>SUM(O15:O16)</f>
        <v>1317.05</v>
      </c>
      <c r="P18" s="180"/>
      <c r="Q18" s="180"/>
      <c r="R18" s="180">
        <f>SUM(R15:R16)</f>
        <v>1317.05</v>
      </c>
      <c r="S18" s="180"/>
      <c r="T18" s="180"/>
      <c r="U18" s="180">
        <f>SUM(U15:U16)</f>
        <v>1317.05</v>
      </c>
      <c r="V18" s="180"/>
      <c r="W18" s="180"/>
      <c r="X18" s="180">
        <f>SUM(X15:X16)</f>
        <v>1317.05</v>
      </c>
      <c r="Y18" s="180"/>
      <c r="Z18" s="180"/>
      <c r="AA18" s="180">
        <f>SUM(AA15:AA16)</f>
        <v>1317.05</v>
      </c>
      <c r="AB18" s="180"/>
      <c r="AC18" s="180"/>
      <c r="AD18" s="180">
        <f>SUM(AD15:AD16)</f>
        <v>1975.57</v>
      </c>
      <c r="AE18" s="180"/>
      <c r="AF18" s="180"/>
      <c r="AG18" s="180">
        <f>SUM(AG15:AG16)</f>
        <v>1317.05</v>
      </c>
      <c r="AH18" s="180"/>
      <c r="AI18" s="180"/>
      <c r="AJ18" s="180">
        <f>SUM(AJ15:AJ16)</f>
        <v>1975.57</v>
      </c>
      <c r="AK18" s="312">
        <f>SUM(C18:AJ18)</f>
        <v>17319.189999999999</v>
      </c>
      <c r="AL18" s="438" t="s">
        <v>98</v>
      </c>
    </row>
    <row r="19" spans="1:39" s="155" customFormat="1" x14ac:dyDescent="0.2">
      <c r="B19" s="146" t="s">
        <v>211</v>
      </c>
      <c r="C19" s="181">
        <f>ROUND(SUM(C17:C18)*0.27,2)</f>
        <v>1456.97</v>
      </c>
      <c r="D19" s="181"/>
      <c r="E19" s="181"/>
      <c r="F19" s="181">
        <f>ROUND(SUM(F17:F18)*0.27,2)</f>
        <v>1581.43</v>
      </c>
      <c r="G19" s="181"/>
      <c r="H19" s="181"/>
      <c r="I19" s="181">
        <f>ROUND(SUM(I17:I18)*0.27,2)</f>
        <v>1581.43</v>
      </c>
      <c r="J19" s="181"/>
      <c r="K19" s="181"/>
      <c r="L19" s="181">
        <f>ROUND(SUM(L17:L18)*0.255,2)</f>
        <v>1661.5</v>
      </c>
      <c r="M19" s="181"/>
      <c r="N19" s="181"/>
      <c r="O19" s="181">
        <f>ROUND(SUM(O17:O18)*0.255,2)</f>
        <v>1493.58</v>
      </c>
      <c r="P19" s="181"/>
      <c r="Q19" s="181"/>
      <c r="R19" s="181">
        <f>ROUND(SUM(R17:R18)*0.255,2)</f>
        <v>1493.58</v>
      </c>
      <c r="S19" s="181"/>
      <c r="T19" s="181"/>
      <c r="U19" s="181">
        <f>ROUND(SUM(U17:U18)*0.255,2)</f>
        <v>1493.58</v>
      </c>
      <c r="V19" s="181"/>
      <c r="W19" s="181"/>
      <c r="X19" s="181">
        <f>ROUND(SUM(X17:X18)*0.255,2)</f>
        <v>1493.58</v>
      </c>
      <c r="Y19" s="181"/>
      <c r="Z19" s="181"/>
      <c r="AA19" s="181">
        <f>ROUND(SUM(AA17:AA18)*0.255,2)</f>
        <v>1493.58</v>
      </c>
      <c r="AB19" s="181"/>
      <c r="AC19" s="181"/>
      <c r="AD19" s="181">
        <f>ROUND(SUM(AD17:AD18)*0.255,2)</f>
        <v>1661.5</v>
      </c>
      <c r="AE19" s="181"/>
      <c r="AF19" s="181"/>
      <c r="AG19" s="181">
        <f>ROUND(SUM(AG17:AG18)*0.255,2)</f>
        <v>1493.58</v>
      </c>
      <c r="AH19" s="181"/>
      <c r="AI19" s="181"/>
      <c r="AJ19" s="181">
        <f>ROUND(SUM(AJ17:AJ18)*0.255,2)</f>
        <v>1661.5</v>
      </c>
      <c r="AK19" s="156">
        <f>SUM(C19:AJ19)</f>
        <v>18565.809999999998</v>
      </c>
      <c r="AL19" s="322" t="s">
        <v>211</v>
      </c>
    </row>
    <row r="20" spans="1:39" s="155" customFormat="1" x14ac:dyDescent="0.2">
      <c r="B20" s="146" t="s">
        <v>160</v>
      </c>
      <c r="C20" s="166">
        <f>SUM(C17:C19)</f>
        <v>6853.1600000000008</v>
      </c>
      <c r="D20" s="166"/>
      <c r="E20" s="166"/>
      <c r="F20" s="166">
        <f>SUM(F17:F19)</f>
        <v>7438.5900000000011</v>
      </c>
      <c r="G20" s="166"/>
      <c r="H20" s="166"/>
      <c r="I20" s="166">
        <f>SUM(I17:I19)</f>
        <v>7438.5900000000011</v>
      </c>
      <c r="J20" s="166"/>
      <c r="K20" s="166"/>
      <c r="L20" s="166">
        <f>SUM(L17:L19)</f>
        <v>8177.18</v>
      </c>
      <c r="M20" s="166"/>
      <c r="N20" s="166"/>
      <c r="O20" s="166">
        <f>SUM(O17:O19)</f>
        <v>7350.7400000000007</v>
      </c>
      <c r="P20" s="166"/>
      <c r="Q20" s="166"/>
      <c r="R20" s="182">
        <f>SUM(R17:R19)</f>
        <v>7350.7400000000007</v>
      </c>
      <c r="S20" s="168"/>
      <c r="T20" s="168"/>
      <c r="U20" s="166">
        <f>SUM(U17:U19)</f>
        <v>7350.7400000000007</v>
      </c>
      <c r="V20" s="166"/>
      <c r="W20" s="166"/>
      <c r="X20" s="166">
        <f>SUM(X17:X19)</f>
        <v>7350.7400000000007</v>
      </c>
      <c r="Y20" s="166"/>
      <c r="Z20" s="166"/>
      <c r="AA20" s="166">
        <f>SUM(AA17:AA19)</f>
        <v>7350.7400000000007</v>
      </c>
      <c r="AB20" s="166"/>
      <c r="AC20" s="166"/>
      <c r="AD20" s="166">
        <f>SUM(AD17:AD19)</f>
        <v>8177.18</v>
      </c>
      <c r="AE20" s="166"/>
      <c r="AF20" s="166"/>
      <c r="AG20" s="166">
        <f>SUM(AG17:AG19)</f>
        <v>7350.7400000000007</v>
      </c>
      <c r="AH20" s="166"/>
      <c r="AI20" s="166"/>
      <c r="AJ20" s="166">
        <f>SUM(AJ17:AJ19)</f>
        <v>8177.18</v>
      </c>
      <c r="AK20" s="167">
        <f>SUM(C20:AJ20)</f>
        <v>90366.32</v>
      </c>
      <c r="AL20" s="322" t="s">
        <v>160</v>
      </c>
    </row>
    <row r="21" spans="1:39" ht="6" customHeight="1" x14ac:dyDescent="0.2">
      <c r="B21" s="151"/>
      <c r="C21" s="156"/>
      <c r="D21" s="155"/>
      <c r="E21" s="155"/>
      <c r="F21" s="156"/>
      <c r="G21" s="155"/>
      <c r="H21" s="155"/>
      <c r="I21" s="156"/>
      <c r="J21" s="155"/>
      <c r="K21" s="155"/>
      <c r="L21" s="156"/>
      <c r="M21" s="155"/>
      <c r="N21" s="155"/>
      <c r="O21" s="156"/>
      <c r="P21" s="155"/>
      <c r="Q21" s="155"/>
      <c r="R21" s="161"/>
      <c r="S21" s="170"/>
      <c r="T21" s="170"/>
      <c r="U21" s="156"/>
      <c r="V21" s="155"/>
      <c r="W21" s="155"/>
      <c r="X21" s="156"/>
      <c r="Y21" s="155"/>
      <c r="Z21" s="155"/>
      <c r="AA21" s="156"/>
      <c r="AB21" s="155"/>
      <c r="AC21" s="155"/>
      <c r="AD21" s="156"/>
      <c r="AE21" s="155"/>
      <c r="AF21" s="155"/>
      <c r="AG21" s="156"/>
      <c r="AH21" s="155"/>
      <c r="AI21" s="155"/>
      <c r="AJ21" s="156"/>
      <c r="AK21" s="155"/>
      <c r="AL21" s="164"/>
      <c r="AM21" s="155"/>
    </row>
    <row r="22" spans="1:39" s="155" customFormat="1" x14ac:dyDescent="0.2">
      <c r="A22" s="146" t="s">
        <v>100</v>
      </c>
      <c r="B22"/>
      <c r="C22" s="183"/>
      <c r="D22" s="166"/>
      <c r="E22" s="166"/>
      <c r="F22" s="183"/>
      <c r="G22" s="166"/>
      <c r="H22" s="166"/>
      <c r="I22" s="183"/>
      <c r="J22" s="166"/>
      <c r="K22" s="166"/>
      <c r="L22" s="183"/>
      <c r="M22" s="166"/>
      <c r="N22" s="166"/>
      <c r="O22" s="183"/>
      <c r="P22" s="166"/>
      <c r="Q22" s="166"/>
      <c r="R22" s="184"/>
      <c r="S22" s="168"/>
      <c r="T22" s="168"/>
      <c r="U22" s="183"/>
      <c r="V22" s="166"/>
      <c r="W22" s="166"/>
      <c r="X22" s="183"/>
      <c r="Y22" s="166"/>
      <c r="Z22" s="166"/>
      <c r="AA22" s="183"/>
      <c r="AB22" s="166"/>
      <c r="AC22" s="166"/>
      <c r="AD22" s="183"/>
      <c r="AE22" s="166"/>
      <c r="AF22" s="166"/>
      <c r="AG22" s="183"/>
      <c r="AH22" s="166"/>
      <c r="AI22" s="166"/>
      <c r="AJ22" s="183"/>
      <c r="AK22" s="156"/>
      <c r="AL22" s="316"/>
    </row>
    <row r="23" spans="1:39" s="155" customFormat="1" x14ac:dyDescent="0.2">
      <c r="A23" s="146"/>
      <c r="B23" s="146" t="s">
        <v>212</v>
      </c>
      <c r="C23" s="156">
        <v>0</v>
      </c>
      <c r="F23" s="156">
        <v>0</v>
      </c>
      <c r="I23" s="156">
        <v>0</v>
      </c>
      <c r="L23" s="156">
        <v>0</v>
      </c>
      <c r="O23" s="156">
        <v>0</v>
      </c>
      <c r="R23" s="156">
        <v>0</v>
      </c>
      <c r="U23" s="156">
        <v>0</v>
      </c>
      <c r="X23" s="156">
        <v>0</v>
      </c>
      <c r="AA23" s="156">
        <v>0</v>
      </c>
      <c r="AD23" s="156">
        <v>0</v>
      </c>
      <c r="AG23" s="156">
        <v>0</v>
      </c>
      <c r="AJ23" s="156">
        <v>0</v>
      </c>
      <c r="AK23" s="156">
        <f>SUM(C23:AJ23)</f>
        <v>0</v>
      </c>
      <c r="AL23" s="322" t="s">
        <v>212</v>
      </c>
    </row>
    <row r="24" spans="1:39" s="189" customFormat="1" x14ac:dyDescent="0.2">
      <c r="A24" s="150"/>
      <c r="B24" s="204" t="s">
        <v>102</v>
      </c>
      <c r="C24" s="205">
        <f>SUM(C23:C23)</f>
        <v>0</v>
      </c>
      <c r="F24" s="205">
        <f>SUM(F23:F23)</f>
        <v>0</v>
      </c>
      <c r="I24" s="205">
        <f>SUM(I23:I23)</f>
        <v>0</v>
      </c>
      <c r="L24" s="205">
        <f>SUM(L23:L23)</f>
        <v>0</v>
      </c>
      <c r="O24" s="205">
        <f>SUM(O23:O23)</f>
        <v>0</v>
      </c>
      <c r="R24" s="205">
        <f>SUM(R23:R23)</f>
        <v>0</v>
      </c>
      <c r="U24" s="205">
        <f>SUM(U23:U23)</f>
        <v>0</v>
      </c>
      <c r="X24" s="205">
        <f>SUM(X23:X23)</f>
        <v>0</v>
      </c>
      <c r="AA24" s="205">
        <f>SUM(AA23:AA23)</f>
        <v>0</v>
      </c>
      <c r="AD24" s="205">
        <f>SUM(AD23:AD23)</f>
        <v>0</v>
      </c>
      <c r="AG24" s="205">
        <f>SUM(AG23:AG23)</f>
        <v>0</v>
      </c>
      <c r="AJ24" s="205">
        <f>SUM(AJ23:AJ23)</f>
        <v>0</v>
      </c>
      <c r="AK24" s="167">
        <f>SUM(C24:AJ24)</f>
        <v>0</v>
      </c>
      <c r="AL24" s="323" t="s">
        <v>102</v>
      </c>
    </row>
    <row r="25" spans="1:39" ht="6" customHeight="1" x14ac:dyDescent="0.2">
      <c r="B25" s="151"/>
      <c r="C25" s="156"/>
      <c r="D25" s="155"/>
      <c r="E25" s="155"/>
      <c r="F25" s="156"/>
      <c r="G25" s="155"/>
      <c r="H25" s="155"/>
      <c r="I25" s="156"/>
      <c r="J25" s="155"/>
      <c r="K25" s="155"/>
      <c r="L25" s="156"/>
      <c r="M25" s="155"/>
      <c r="N25" s="155"/>
      <c r="O25" s="156"/>
      <c r="P25" s="155"/>
      <c r="Q25" s="155"/>
      <c r="R25" s="156"/>
      <c r="S25" s="155"/>
      <c r="T25" s="155"/>
      <c r="U25" s="156"/>
      <c r="V25" s="155"/>
      <c r="W25" s="155"/>
      <c r="X25" s="156"/>
      <c r="Y25" s="155"/>
      <c r="Z25" s="155"/>
      <c r="AA25" s="156"/>
      <c r="AB25" s="155"/>
      <c r="AC25" s="155"/>
      <c r="AD25" s="156"/>
      <c r="AE25" s="155"/>
      <c r="AF25" s="155"/>
      <c r="AG25" s="156"/>
      <c r="AH25" s="155"/>
      <c r="AI25" s="155"/>
      <c r="AJ25" s="156"/>
      <c r="AK25" s="155"/>
      <c r="AL25" s="164"/>
      <c r="AM25" s="155"/>
    </row>
    <row r="26" spans="1:39" x14ac:dyDescent="0.2">
      <c r="A26" s="150" t="s">
        <v>103</v>
      </c>
      <c r="U26" s="295"/>
      <c r="V26"/>
      <c r="W26"/>
      <c r="X26" s="295"/>
      <c r="Y26"/>
      <c r="Z26"/>
      <c r="AA26" s="295"/>
      <c r="AB26"/>
      <c r="AC26"/>
      <c r="AD26" s="295"/>
      <c r="AE26"/>
      <c r="AF26"/>
      <c r="AG26" s="295"/>
      <c r="AH26"/>
      <c r="AI26"/>
      <c r="AJ26" s="295"/>
      <c r="AK26" s="156"/>
    </row>
    <row r="27" spans="1:39" x14ac:dyDescent="0.2">
      <c r="B27" s="146" t="s">
        <v>212</v>
      </c>
      <c r="C27" s="156"/>
      <c r="D27" s="155"/>
      <c r="E27" s="155"/>
      <c r="F27" s="156">
        <v>0</v>
      </c>
      <c r="G27" s="155"/>
      <c r="H27" s="155"/>
      <c r="I27" s="156">
        <v>0</v>
      </c>
      <c r="J27" s="155"/>
      <c r="K27" s="155"/>
      <c r="L27" s="156">
        <v>0</v>
      </c>
      <c r="M27" s="155"/>
      <c r="N27" s="155"/>
      <c r="O27" s="156">
        <v>0</v>
      </c>
      <c r="P27" s="155"/>
      <c r="Q27" s="155"/>
      <c r="R27" s="156">
        <v>0</v>
      </c>
      <c r="S27" s="155"/>
      <c r="T27" s="155"/>
      <c r="U27" s="156">
        <v>0</v>
      </c>
      <c r="V27" s="155"/>
      <c r="W27" s="155"/>
      <c r="X27" s="156">
        <v>0</v>
      </c>
      <c r="Y27" s="155"/>
      <c r="Z27" s="155"/>
      <c r="AA27" s="156">
        <v>0</v>
      </c>
      <c r="AB27" s="155"/>
      <c r="AC27" s="155"/>
      <c r="AD27" s="156">
        <v>0</v>
      </c>
      <c r="AE27" s="155"/>
      <c r="AF27" s="155"/>
      <c r="AG27" s="156">
        <v>0</v>
      </c>
      <c r="AH27" s="155"/>
      <c r="AI27" s="155"/>
      <c r="AJ27" s="156">
        <v>0</v>
      </c>
      <c r="AK27" s="156">
        <f>SUM(C27:AJ27)</f>
        <v>0</v>
      </c>
      <c r="AL27" s="322" t="s">
        <v>212</v>
      </c>
      <c r="AM27" s="155"/>
    </row>
    <row r="28" spans="1:39" s="189" customFormat="1" x14ac:dyDescent="0.2">
      <c r="A28" s="150"/>
      <c r="B28" s="204" t="s">
        <v>105</v>
      </c>
      <c r="C28" s="205">
        <f>SUM(C27:C27)</f>
        <v>0</v>
      </c>
      <c r="F28" s="205">
        <f>SUM(F27:F27)</f>
        <v>0</v>
      </c>
      <c r="I28" s="205">
        <f>SUM(I27:I27)</f>
        <v>0</v>
      </c>
      <c r="L28" s="205">
        <f>SUM(L27:L27)</f>
        <v>0</v>
      </c>
      <c r="O28" s="205">
        <f>SUM(O27:O27)</f>
        <v>0</v>
      </c>
      <c r="R28" s="205">
        <f>SUM(R27:R27)</f>
        <v>0</v>
      </c>
      <c r="U28" s="205">
        <f>SUM(U27:U27)</f>
        <v>0</v>
      </c>
      <c r="X28" s="205">
        <f>SUM(X27:X27)</f>
        <v>0</v>
      </c>
      <c r="AA28" s="205">
        <f>SUM(AA27:AA27)</f>
        <v>0</v>
      </c>
      <c r="AD28" s="205">
        <f>SUM(AD27:AD27)</f>
        <v>0</v>
      </c>
      <c r="AG28" s="205">
        <f>SUM(AG27:AG27)</f>
        <v>0</v>
      </c>
      <c r="AJ28" s="205">
        <f>SUM(AJ27:AJ27)</f>
        <v>0</v>
      </c>
      <c r="AK28" s="167">
        <f>SUM(C28:AJ28)</f>
        <v>0</v>
      </c>
      <c r="AL28" s="323" t="s">
        <v>105</v>
      </c>
    </row>
    <row r="29" spans="1:39" ht="6" customHeight="1" x14ac:dyDescent="0.2">
      <c r="B29" s="151"/>
      <c r="C29" s="156"/>
      <c r="D29" s="155"/>
      <c r="E29" s="155"/>
      <c r="F29" s="156"/>
      <c r="G29" s="155"/>
      <c r="H29" s="155"/>
      <c r="I29" s="156"/>
      <c r="J29" s="155"/>
      <c r="K29" s="155"/>
      <c r="L29" s="156"/>
      <c r="M29" s="155"/>
      <c r="N29" s="155"/>
      <c r="O29" s="156"/>
      <c r="P29" s="155"/>
      <c r="Q29" s="155"/>
      <c r="R29" s="161"/>
      <c r="S29" s="170"/>
      <c r="T29" s="170"/>
      <c r="U29" s="156"/>
      <c r="V29" s="155"/>
      <c r="W29" s="155"/>
      <c r="X29" s="156"/>
      <c r="Y29" s="155"/>
      <c r="Z29" s="155"/>
      <c r="AA29" s="156"/>
      <c r="AB29" s="155"/>
      <c r="AC29" s="155"/>
      <c r="AD29" s="156"/>
      <c r="AE29" s="155"/>
      <c r="AF29" s="155"/>
      <c r="AG29" s="156"/>
      <c r="AH29" s="155"/>
      <c r="AI29" s="155"/>
      <c r="AJ29" s="156"/>
      <c r="AK29" s="155"/>
      <c r="AL29" s="164"/>
      <c r="AM29" s="155"/>
    </row>
    <row r="30" spans="1:39" s="189" customFormat="1" x14ac:dyDescent="0.2">
      <c r="A30" s="150"/>
      <c r="B30" s="187" t="s">
        <v>106</v>
      </c>
      <c r="C30" s="205">
        <f>C28+C24+C20</f>
        <v>6853.1600000000008</v>
      </c>
      <c r="F30" s="205">
        <f>F28+F24+F20</f>
        <v>7438.5900000000011</v>
      </c>
      <c r="I30" s="205">
        <f>I28+I24+I20</f>
        <v>7438.5900000000011</v>
      </c>
      <c r="L30" s="205">
        <f>L28+L24+L20</f>
        <v>8177.18</v>
      </c>
      <c r="O30" s="205">
        <f>O28+O24+O20</f>
        <v>7350.7400000000007</v>
      </c>
      <c r="R30" s="205">
        <f>R28+R24+R20</f>
        <v>7350.7400000000007</v>
      </c>
      <c r="U30" s="205">
        <f>U28+U24+U20</f>
        <v>7350.7400000000007</v>
      </c>
      <c r="X30" s="205">
        <f>X28+X24+X20</f>
        <v>7350.7400000000007</v>
      </c>
      <c r="AA30" s="205">
        <f>AA28+AA24+AA20</f>
        <v>7350.7400000000007</v>
      </c>
      <c r="AD30" s="205">
        <f>AD28+AD24+AD20</f>
        <v>8177.18</v>
      </c>
      <c r="AG30" s="205">
        <f>AG28+AG24+AG20</f>
        <v>7350.7400000000007</v>
      </c>
      <c r="AJ30" s="205">
        <f>AJ28+AJ24+AJ20</f>
        <v>8177.18</v>
      </c>
      <c r="AK30" s="167">
        <f>SUM(C30:AJ30)</f>
        <v>90366.32</v>
      </c>
      <c r="AL30" s="164" t="s">
        <v>106</v>
      </c>
    </row>
    <row r="31" spans="1:39" ht="6" customHeight="1" x14ac:dyDescent="0.2">
      <c r="B31" s="151"/>
      <c r="C31" s="156"/>
      <c r="D31" s="155"/>
      <c r="E31" s="155"/>
      <c r="F31" s="156"/>
      <c r="G31" s="155"/>
      <c r="H31" s="155"/>
      <c r="I31" s="156"/>
      <c r="J31" s="155"/>
      <c r="K31" s="155"/>
      <c r="L31" s="156"/>
      <c r="M31" s="155"/>
      <c r="N31" s="155"/>
      <c r="O31" s="156"/>
      <c r="P31" s="155"/>
      <c r="Q31" s="155"/>
      <c r="R31" s="161"/>
      <c r="S31" s="170"/>
      <c r="T31" s="170"/>
      <c r="U31" s="156"/>
      <c r="V31" s="155"/>
      <c r="W31" s="155"/>
      <c r="X31" s="156"/>
      <c r="Y31" s="155"/>
      <c r="Z31" s="155"/>
      <c r="AA31" s="156"/>
      <c r="AB31" s="155"/>
      <c r="AC31" s="155"/>
      <c r="AD31" s="156"/>
      <c r="AE31" s="155"/>
      <c r="AF31" s="155"/>
      <c r="AG31" s="156"/>
      <c r="AH31" s="155"/>
      <c r="AI31" s="155"/>
      <c r="AJ31" s="156"/>
      <c r="AK31" s="155"/>
      <c r="AL31" s="164"/>
      <c r="AM31" s="155"/>
    </row>
    <row r="32" spans="1:39" x14ac:dyDescent="0.2">
      <c r="A32" s="150" t="s">
        <v>107</v>
      </c>
      <c r="C32" s="295">
        <f>C3+C7-C30</f>
        <v>146106.13999999998</v>
      </c>
      <c r="F32" s="295">
        <f>F3+F7-F30</f>
        <v>150737.78999999998</v>
      </c>
      <c r="I32" s="295">
        <f>I3+I7-I30</f>
        <v>155369.43999999997</v>
      </c>
      <c r="L32" s="295">
        <f>L3+L7-L30</f>
        <v>159262.49999999997</v>
      </c>
      <c r="O32" s="295">
        <f>O3+O7-O30</f>
        <v>163981.99999999997</v>
      </c>
      <c r="R32" s="301">
        <f>R3+R7-R30</f>
        <v>168701.49999999997</v>
      </c>
      <c r="S32" s="296"/>
      <c r="T32" s="296"/>
      <c r="U32" s="208">
        <f>U3+U7-U30</f>
        <v>173420.99999999997</v>
      </c>
      <c r="X32" s="208">
        <f>X3+X7-X30</f>
        <v>178140.49999999997</v>
      </c>
      <c r="AA32" s="208">
        <f>AA3+AA7-AA30</f>
        <v>182859.99999999997</v>
      </c>
      <c r="AD32" s="208">
        <f>AD3+AD7-AD30</f>
        <v>186753.05999999997</v>
      </c>
      <c r="AG32" s="208">
        <f>AG3+AG7-AG30</f>
        <v>191472.55999999997</v>
      </c>
      <c r="AJ32" s="208">
        <f>AJ3+AJ7-AJ30</f>
        <v>195365.61999999997</v>
      </c>
      <c r="AK32" s="205">
        <f>C3+AK7-AK30</f>
        <v>195365.62</v>
      </c>
    </row>
    <row r="33" spans="37:37" x14ac:dyDescent="0.2">
      <c r="AK33" s="156"/>
    </row>
    <row r="34" spans="37:37" x14ac:dyDescent="0.2">
      <c r="AK34" s="156"/>
    </row>
    <row r="35" spans="37:37" x14ac:dyDescent="0.2">
      <c r="AK35" s="156"/>
    </row>
    <row r="36" spans="37:37" x14ac:dyDescent="0.2">
      <c r="AK36" s="156"/>
    </row>
    <row r="37" spans="37:37" x14ac:dyDescent="0.2">
      <c r="AK37" s="156"/>
    </row>
    <row r="38" spans="37:37" x14ac:dyDescent="0.2">
      <c r="AK38" s="156"/>
    </row>
    <row r="39" spans="37:37" x14ac:dyDescent="0.2">
      <c r="AK39" s="156"/>
    </row>
    <row r="40" spans="37:37" x14ac:dyDescent="0.2">
      <c r="AK40" s="156"/>
    </row>
    <row r="41" spans="37:37" x14ac:dyDescent="0.2">
      <c r="AK41" s="156"/>
    </row>
    <row r="42" spans="37:37" x14ac:dyDescent="0.2">
      <c r="AK42" s="156"/>
    </row>
    <row r="43" spans="37:37" x14ac:dyDescent="0.2">
      <c r="AK43" s="156"/>
    </row>
    <row r="44" spans="37:37" x14ac:dyDescent="0.2">
      <c r="AK44" s="156"/>
    </row>
    <row r="45" spans="37:37" x14ac:dyDescent="0.2">
      <c r="AK45" s="156"/>
    </row>
    <row r="46" spans="37:37" x14ac:dyDescent="0.2">
      <c r="AK46" s="156"/>
    </row>
    <row r="47" spans="37:37" x14ac:dyDescent="0.2">
      <c r="AK47" s="156"/>
    </row>
    <row r="48" spans="37:37" x14ac:dyDescent="0.2">
      <c r="AK48" s="156"/>
    </row>
    <row r="49" spans="37:37" x14ac:dyDescent="0.2">
      <c r="AK49" s="156"/>
    </row>
    <row r="50" spans="37:37" x14ac:dyDescent="0.2">
      <c r="AK50" s="156"/>
    </row>
    <row r="51" spans="37:37" x14ac:dyDescent="0.2">
      <c r="AK51" s="156"/>
    </row>
    <row r="52" spans="37:37" x14ac:dyDescent="0.2">
      <c r="AK52" s="156"/>
    </row>
    <row r="53" spans="37:37" x14ac:dyDescent="0.2">
      <c r="AK53" s="156"/>
    </row>
    <row r="54" spans="37:37" x14ac:dyDescent="0.2">
      <c r="AK54" s="156"/>
    </row>
    <row r="55" spans="37:37" x14ac:dyDescent="0.2">
      <c r="AK55" s="156"/>
    </row>
    <row r="56" spans="37:37" x14ac:dyDescent="0.2">
      <c r="AK56" s="156"/>
    </row>
    <row r="57" spans="37:37" x14ac:dyDescent="0.2">
      <c r="AK57" s="156"/>
    </row>
    <row r="58" spans="37:37" x14ac:dyDescent="0.2">
      <c r="AK58" s="156"/>
    </row>
    <row r="59" spans="37:37" x14ac:dyDescent="0.2">
      <c r="AK59" s="156"/>
    </row>
    <row r="60" spans="37:37" x14ac:dyDescent="0.2">
      <c r="AK60" s="156"/>
    </row>
    <row r="61" spans="37:37" x14ac:dyDescent="0.2">
      <c r="AK61" s="156"/>
    </row>
    <row r="62" spans="37:37" x14ac:dyDescent="0.2">
      <c r="AK62" s="156"/>
    </row>
    <row r="63" spans="37:37" x14ac:dyDescent="0.2">
      <c r="AK63" s="156"/>
    </row>
    <row r="64" spans="37:37" x14ac:dyDescent="0.2">
      <c r="AK64" s="156"/>
    </row>
    <row r="65" spans="37:37" x14ac:dyDescent="0.2">
      <c r="AK65" s="156"/>
    </row>
    <row r="66" spans="37:37" x14ac:dyDescent="0.2">
      <c r="AK66" s="156"/>
    </row>
    <row r="67" spans="37:37" x14ac:dyDescent="0.2">
      <c r="AK67" s="156"/>
    </row>
    <row r="68" spans="37:37" x14ac:dyDescent="0.2">
      <c r="AK68" s="156"/>
    </row>
    <row r="69" spans="37:37" x14ac:dyDescent="0.2">
      <c r="AK69" s="156"/>
    </row>
    <row r="70" spans="37:37" x14ac:dyDescent="0.2">
      <c r="AK70" s="156"/>
    </row>
    <row r="71" spans="37:37" x14ac:dyDescent="0.2">
      <c r="AK71" s="156"/>
    </row>
    <row r="72" spans="37:37" x14ac:dyDescent="0.2">
      <c r="AK72" s="156"/>
    </row>
    <row r="73" spans="37:37" x14ac:dyDescent="0.2">
      <c r="AK73" s="156"/>
    </row>
    <row r="74" spans="37:37" x14ac:dyDescent="0.2">
      <c r="AK74" s="156"/>
    </row>
    <row r="75" spans="37:37" x14ac:dyDescent="0.2">
      <c r="AK75" s="156"/>
    </row>
    <row r="76" spans="37:37" x14ac:dyDescent="0.2">
      <c r="AK76" s="156"/>
    </row>
    <row r="77" spans="37:37" x14ac:dyDescent="0.2">
      <c r="AK77" s="156"/>
    </row>
    <row r="78" spans="37:37" x14ac:dyDescent="0.2">
      <c r="AK78" s="156"/>
    </row>
    <row r="79" spans="37:37" x14ac:dyDescent="0.2">
      <c r="AK79" s="156"/>
    </row>
    <row r="80" spans="37:37" x14ac:dyDescent="0.2">
      <c r="AK80" s="156"/>
    </row>
    <row r="81" spans="37:37" x14ac:dyDescent="0.2">
      <c r="AK81" s="156"/>
    </row>
    <row r="82" spans="37:37" x14ac:dyDescent="0.2">
      <c r="AK82" s="156"/>
    </row>
    <row r="83" spans="37:37" x14ac:dyDescent="0.2">
      <c r="AK83" s="156"/>
    </row>
    <row r="84" spans="37:37" x14ac:dyDescent="0.2">
      <c r="AK84" s="156"/>
    </row>
    <row r="85" spans="37:37" x14ac:dyDescent="0.2">
      <c r="AK85" s="156"/>
    </row>
    <row r="86" spans="37:37" x14ac:dyDescent="0.2">
      <c r="AK86" s="156"/>
    </row>
    <row r="87" spans="37:37" x14ac:dyDescent="0.2">
      <c r="AK87" s="156"/>
    </row>
    <row r="88" spans="37:37" x14ac:dyDescent="0.2">
      <c r="AK88" s="156"/>
    </row>
    <row r="89" spans="37:37" x14ac:dyDescent="0.2">
      <c r="AK89" s="156"/>
    </row>
    <row r="90" spans="37:37" x14ac:dyDescent="0.2">
      <c r="AK90" s="156"/>
    </row>
    <row r="91" spans="37:37" x14ac:dyDescent="0.2">
      <c r="AK91" s="156"/>
    </row>
    <row r="92" spans="37:37" x14ac:dyDescent="0.2">
      <c r="AK92" s="156"/>
    </row>
    <row r="93" spans="37:37" x14ac:dyDescent="0.2">
      <c r="AK93" s="156"/>
    </row>
    <row r="94" spans="37:37" x14ac:dyDescent="0.2">
      <c r="AK94" s="156"/>
    </row>
    <row r="95" spans="37:37" x14ac:dyDescent="0.2">
      <c r="AK95" s="156"/>
    </row>
    <row r="96" spans="37:37" x14ac:dyDescent="0.2">
      <c r="AK96" s="156"/>
    </row>
    <row r="97" spans="37:37" x14ac:dyDescent="0.2">
      <c r="AK97" s="156"/>
    </row>
    <row r="98" spans="37:37" x14ac:dyDescent="0.2">
      <c r="AK98" s="156"/>
    </row>
    <row r="99" spans="37:37" x14ac:dyDescent="0.2">
      <c r="AK99" s="156"/>
    </row>
    <row r="100" spans="37:37" x14ac:dyDescent="0.2">
      <c r="AK100" s="156"/>
    </row>
    <row r="101" spans="37:37" x14ac:dyDescent="0.2">
      <c r="AK101" s="156"/>
    </row>
    <row r="102" spans="37:37" x14ac:dyDescent="0.2">
      <c r="AK102" s="156"/>
    </row>
    <row r="103" spans="37:37" x14ac:dyDescent="0.2">
      <c r="AK103" s="156"/>
    </row>
    <row r="104" spans="37:37" x14ac:dyDescent="0.2">
      <c r="AK104" s="156"/>
    </row>
    <row r="105" spans="37:37" x14ac:dyDescent="0.2">
      <c r="AK105" s="156"/>
    </row>
    <row r="106" spans="37:37" x14ac:dyDescent="0.2">
      <c r="AK106" s="156"/>
    </row>
    <row r="107" spans="37:37" x14ac:dyDescent="0.2">
      <c r="AK107" s="156"/>
    </row>
    <row r="108" spans="37:37" x14ac:dyDescent="0.2">
      <c r="AK108" s="156"/>
    </row>
    <row r="109" spans="37:37" x14ac:dyDescent="0.2">
      <c r="AK109" s="156"/>
    </row>
    <row r="110" spans="37:37" x14ac:dyDescent="0.2">
      <c r="AK110" s="156"/>
    </row>
    <row r="111" spans="37:37" x14ac:dyDescent="0.2">
      <c r="AK111" s="156"/>
    </row>
    <row r="112" spans="37:37" x14ac:dyDescent="0.2">
      <c r="AK112" s="156"/>
    </row>
    <row r="113" spans="37:37" x14ac:dyDescent="0.2">
      <c r="AK113" s="156"/>
    </row>
    <row r="114" spans="37:37" x14ac:dyDescent="0.2">
      <c r="AK114" s="156"/>
    </row>
  </sheetData>
  <printOptions horizontalCentered="1"/>
  <pageMargins left="0.25" right="0.25" top="0.75" bottom="0.25" header="0.3" footer="0.3"/>
  <pageSetup paperSize="5" scale="105" orientation="landscape" cellComments="asDisplayed" verticalDpi="1200" r:id="rId1"/>
  <headerFooter>
    <oddFooter>&amp;RPage &amp;P of &amp;N</oddFooter>
  </headerFooter>
  <colBreaks count="1" manualBreakCount="1">
    <brk id="19" max="31"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8"/>
  <sheetViews>
    <sheetView zoomScaleNormal="100" workbookViewId="0">
      <selection activeCell="O7" sqref="O7"/>
    </sheetView>
  </sheetViews>
  <sheetFormatPr defaultRowHeight="12.75" x14ac:dyDescent="0.2"/>
  <cols>
    <col min="1" max="1" width="53" style="160" customWidth="1"/>
    <col min="2" max="7" width="13.7109375" style="160" customWidth="1"/>
    <col min="8" max="8" width="13.7109375" style="366" customWidth="1"/>
    <col min="9" max="16384" width="9.140625" style="160"/>
  </cols>
  <sheetData>
    <row r="1" spans="1:8" s="328" customFormat="1" ht="36.75" customHeight="1" x14ac:dyDescent="0.2">
      <c r="A1" s="324" t="s">
        <v>215</v>
      </c>
      <c r="B1" s="325" t="s">
        <v>256</v>
      </c>
      <c r="C1" s="326" t="s">
        <v>258</v>
      </c>
      <c r="D1" s="327" t="s">
        <v>259</v>
      </c>
      <c r="E1" s="327" t="s">
        <v>260</v>
      </c>
      <c r="F1" s="327" t="s">
        <v>265</v>
      </c>
      <c r="G1" s="367" t="s">
        <v>78</v>
      </c>
      <c r="H1" s="439"/>
    </row>
    <row r="2" spans="1:8" s="334" customFormat="1" ht="31.5" customHeight="1" x14ac:dyDescent="0.2">
      <c r="A2" s="329" t="s">
        <v>216</v>
      </c>
      <c r="B2" s="330" t="s">
        <v>257</v>
      </c>
      <c r="C2" s="331" t="s">
        <v>217</v>
      </c>
      <c r="D2" s="332" t="s">
        <v>299</v>
      </c>
      <c r="E2" s="332" t="s">
        <v>300</v>
      </c>
      <c r="F2" s="333" t="s">
        <v>267</v>
      </c>
      <c r="G2" s="368"/>
      <c r="H2" s="440" t="s">
        <v>218</v>
      </c>
    </row>
    <row r="3" spans="1:8" s="339" customFormat="1" ht="14.25" customHeight="1" x14ac:dyDescent="0.2">
      <c r="A3" s="329" t="s">
        <v>219</v>
      </c>
      <c r="B3" s="335" t="s">
        <v>220</v>
      </c>
      <c r="C3" s="336" t="s">
        <v>220</v>
      </c>
      <c r="D3" s="337">
        <v>39661</v>
      </c>
      <c r="E3" s="337">
        <v>40787</v>
      </c>
      <c r="F3" s="338">
        <v>40787</v>
      </c>
      <c r="G3" s="369"/>
      <c r="H3" s="441"/>
    </row>
    <row r="4" spans="1:8" customFormat="1" ht="12.75" customHeight="1" x14ac:dyDescent="0.2">
      <c r="A4" s="340"/>
      <c r="B4" s="341"/>
      <c r="C4" s="342"/>
      <c r="D4" s="343">
        <v>41486</v>
      </c>
      <c r="E4" s="343">
        <v>41152</v>
      </c>
      <c r="F4" s="344">
        <v>41517</v>
      </c>
      <c r="G4" s="370"/>
      <c r="H4" s="442"/>
    </row>
    <row r="5" spans="1:8" s="189" customFormat="1" x14ac:dyDescent="0.2">
      <c r="A5" s="345" t="s">
        <v>92</v>
      </c>
      <c r="B5" s="346">
        <f>Operating!C3</f>
        <v>2000000</v>
      </c>
      <c r="C5" s="347">
        <f>Endow!C3</f>
        <v>140889.06</v>
      </c>
      <c r="D5" s="348">
        <v>0</v>
      </c>
      <c r="E5" s="348">
        <v>0</v>
      </c>
      <c r="F5" s="349">
        <v>0</v>
      </c>
      <c r="G5" s="371">
        <f>SUM(B5:F5)</f>
        <v>2140889.06</v>
      </c>
      <c r="H5" s="443"/>
    </row>
    <row r="6" spans="1:8" customFormat="1" x14ac:dyDescent="0.2">
      <c r="A6" s="350"/>
      <c r="B6" s="346"/>
      <c r="C6" s="347"/>
      <c r="D6" s="348"/>
      <c r="E6" s="348"/>
      <c r="F6" s="349"/>
      <c r="G6" s="371"/>
      <c r="H6" s="443"/>
    </row>
    <row r="7" spans="1:8" customFormat="1" x14ac:dyDescent="0.2">
      <c r="A7" s="345" t="s">
        <v>221</v>
      </c>
      <c r="B7" s="346"/>
      <c r="C7" s="347"/>
      <c r="D7" s="348"/>
      <c r="E7" s="348"/>
      <c r="F7" s="349"/>
      <c r="G7" s="371"/>
      <c r="H7" s="443"/>
    </row>
    <row r="8" spans="1:8" customFormat="1" x14ac:dyDescent="0.2">
      <c r="A8" s="350" t="s">
        <v>222</v>
      </c>
      <c r="B8" s="351">
        <v>0</v>
      </c>
      <c r="C8" s="352">
        <f>Endow!AK6</f>
        <v>144842.88</v>
      </c>
      <c r="D8" s="353">
        <v>0</v>
      </c>
      <c r="E8" s="353">
        <v>0</v>
      </c>
      <c r="F8" s="354">
        <v>0</v>
      </c>
      <c r="G8" s="372">
        <f>SUM(B8:F8)</f>
        <v>144842.88</v>
      </c>
      <c r="H8" s="444"/>
    </row>
    <row r="9" spans="1:8" customFormat="1" x14ac:dyDescent="0.2">
      <c r="A9" s="350" t="s">
        <v>223</v>
      </c>
      <c r="B9" s="351">
        <v>0</v>
      </c>
      <c r="C9" s="352">
        <v>0</v>
      </c>
      <c r="D9" s="353">
        <f>'Chair R01'!AL7</f>
        <v>218699.56</v>
      </c>
      <c r="E9" s="353">
        <f>'Chair R03'!AL7</f>
        <v>49968.32</v>
      </c>
      <c r="F9" s="354">
        <f>'Chair Non-Fed'!AL7</f>
        <v>70657.210000000006</v>
      </c>
      <c r="G9" s="372">
        <f>SUM(B9:F9)</f>
        <v>339325.09</v>
      </c>
      <c r="H9" s="444">
        <f>'Chair R03'!AL7+'Chair R01'!AL7+'Chair Non-Fed'!AL7</f>
        <v>339325.09</v>
      </c>
    </row>
    <row r="10" spans="1:8" customFormat="1" x14ac:dyDescent="0.2">
      <c r="A10" s="350" t="s">
        <v>224</v>
      </c>
      <c r="B10" s="351">
        <v>0</v>
      </c>
      <c r="C10" s="352">
        <v>0</v>
      </c>
      <c r="D10" s="353">
        <v>0</v>
      </c>
      <c r="E10" s="353">
        <v>0</v>
      </c>
      <c r="F10" s="354">
        <v>0</v>
      </c>
      <c r="G10" s="372">
        <f>SUM(B10:F10)</f>
        <v>0</v>
      </c>
      <c r="H10" s="444"/>
    </row>
    <row r="11" spans="1:8" s="356" customFormat="1" x14ac:dyDescent="0.2">
      <c r="A11" s="355" t="s">
        <v>225</v>
      </c>
      <c r="B11" s="351">
        <f>Operating!AK8</f>
        <v>155181</v>
      </c>
      <c r="C11" s="352">
        <v>0</v>
      </c>
      <c r="D11" s="353">
        <f>ROUND(D9*0.525,0)</f>
        <v>114817</v>
      </c>
      <c r="E11" s="353">
        <f>ROUND(E9*0.525,0)</f>
        <v>26233</v>
      </c>
      <c r="F11" s="353">
        <f>ROUND(F9*0.2,0)</f>
        <v>14131</v>
      </c>
      <c r="G11" s="372">
        <f>SUM(D11:F11)</f>
        <v>155181</v>
      </c>
      <c r="H11" s="444">
        <f>B11</f>
        <v>155181</v>
      </c>
    </row>
    <row r="12" spans="1:8" s="356" customFormat="1" ht="12.75" customHeight="1" x14ac:dyDescent="0.2">
      <c r="A12" s="355" t="s">
        <v>151</v>
      </c>
      <c r="B12" s="351">
        <f>Operating!AK9</f>
        <v>-62072.4</v>
      </c>
      <c r="C12" s="352">
        <v>0</v>
      </c>
      <c r="D12" s="353">
        <f t="shared" ref="D12" si="0">-ROUND(D11*0.4,0)</f>
        <v>-45927</v>
      </c>
      <c r="E12" s="353">
        <f>ROUND(-E11*0.4,0)</f>
        <v>-10493</v>
      </c>
      <c r="F12" s="353">
        <f t="shared" ref="F12" si="1">ROUND(-F11*0.4,0)</f>
        <v>-5652</v>
      </c>
      <c r="G12" s="372">
        <f>SUM(D12:F12)</f>
        <v>-62072</v>
      </c>
      <c r="H12" s="444">
        <f>B12</f>
        <v>-62072.4</v>
      </c>
    </row>
    <row r="13" spans="1:8" s="356" customFormat="1" x14ac:dyDescent="0.2">
      <c r="A13" s="355" t="s">
        <v>226</v>
      </c>
      <c r="B13" s="351">
        <v>0</v>
      </c>
      <c r="C13" s="352">
        <v>0</v>
      </c>
      <c r="D13" s="353">
        <v>0</v>
      </c>
      <c r="E13" s="353">
        <v>0</v>
      </c>
      <c r="F13" s="354">
        <v>0</v>
      </c>
      <c r="G13" s="372">
        <f>SUM(B13:F13)</f>
        <v>0</v>
      </c>
      <c r="H13" s="444"/>
    </row>
    <row r="14" spans="1:8" customFormat="1" x14ac:dyDescent="0.2">
      <c r="A14" s="350" t="s">
        <v>227</v>
      </c>
      <c r="B14" s="351">
        <f>Operating!AK14</f>
        <v>261999.99999999997</v>
      </c>
      <c r="C14" s="352">
        <v>0</v>
      </c>
      <c r="D14" s="353">
        <v>0</v>
      </c>
      <c r="E14" s="353">
        <v>0</v>
      </c>
      <c r="F14" s="354">
        <v>0</v>
      </c>
      <c r="G14" s="372">
        <f>SUM(B14:F14)</f>
        <v>261999.99999999997</v>
      </c>
      <c r="H14" s="444"/>
    </row>
    <row r="15" spans="1:8" s="189" customFormat="1" collapsed="1" x14ac:dyDescent="0.2">
      <c r="A15" s="345" t="s">
        <v>228</v>
      </c>
      <c r="B15" s="346">
        <f>SUM(B8:B14)</f>
        <v>355108.6</v>
      </c>
      <c r="C15" s="347">
        <f t="shared" ref="C15" si="2">C14+SUM(C8:C10)</f>
        <v>144842.88</v>
      </c>
      <c r="D15" s="348">
        <f>D14+SUM(D8:D10)</f>
        <v>218699.56</v>
      </c>
      <c r="E15" s="348">
        <f>E14+SUM(E8:E10)</f>
        <v>49968.32</v>
      </c>
      <c r="F15" s="348">
        <f>F14+SUM(F8:F10)</f>
        <v>70657.210000000006</v>
      </c>
      <c r="G15" s="374">
        <f>SUM(B15:F15)</f>
        <v>839276.57</v>
      </c>
      <c r="H15" s="443">
        <f>SUM(G8:G14)</f>
        <v>839276.97</v>
      </c>
    </row>
    <row r="16" spans="1:8" customFormat="1" x14ac:dyDescent="0.2">
      <c r="A16" s="350"/>
      <c r="B16" s="346"/>
      <c r="C16" s="347"/>
      <c r="D16" s="348"/>
      <c r="E16" s="348"/>
      <c r="F16" s="349"/>
      <c r="G16" s="371"/>
      <c r="H16" s="443"/>
    </row>
    <row r="17" spans="1:8" customFormat="1" ht="11.25" customHeight="1" x14ac:dyDescent="0.2">
      <c r="A17" s="345" t="s">
        <v>229</v>
      </c>
      <c r="B17" s="346"/>
      <c r="C17" s="347"/>
      <c r="D17" s="348"/>
      <c r="E17" s="348"/>
      <c r="F17" s="349"/>
      <c r="G17" s="371"/>
      <c r="H17" s="443"/>
    </row>
    <row r="18" spans="1:8" s="207" customFormat="1" ht="20.25" customHeight="1" x14ac:dyDescent="0.2">
      <c r="A18" s="357" t="s">
        <v>230</v>
      </c>
      <c r="B18" s="351">
        <f>Operating!AK22</f>
        <v>68467.290000000023</v>
      </c>
      <c r="C18" s="352">
        <f>Endow!AK17</f>
        <v>54481.320000000007</v>
      </c>
      <c r="D18" s="353">
        <f>'Chair R01'!AL19</f>
        <v>109865.04</v>
      </c>
      <c r="E18" s="353">
        <f>'Chair R03'!AL16</f>
        <v>19970.04</v>
      </c>
      <c r="F18" s="354">
        <f>'Chair Non-Fed'!AL17</f>
        <v>15491.190000000006</v>
      </c>
      <c r="G18" s="372">
        <f t="shared" ref="G18:G29" si="3">SUM(B18:F18)</f>
        <v>268274.88000000006</v>
      </c>
      <c r="H18" s="444">
        <f>'Chair R03'!AL16+'Chair R01'!AL19+'Chair Non-Fed'!AL17+Operating!AK22+Endow!AK17</f>
        <v>268274.88</v>
      </c>
    </row>
    <row r="19" spans="1:8" s="207" customFormat="1" x14ac:dyDescent="0.2">
      <c r="A19" s="357" t="s">
        <v>231</v>
      </c>
      <c r="B19" s="351">
        <v>0</v>
      </c>
      <c r="C19" s="352">
        <v>0</v>
      </c>
      <c r="D19" s="353">
        <v>0</v>
      </c>
      <c r="E19" s="353">
        <v>0</v>
      </c>
      <c r="F19" s="354">
        <v>0</v>
      </c>
      <c r="G19" s="372">
        <f t="shared" si="3"/>
        <v>0</v>
      </c>
      <c r="H19" s="444"/>
    </row>
    <row r="20" spans="1:8" s="207" customFormat="1" x14ac:dyDescent="0.2">
      <c r="A20" s="357" t="s">
        <v>232</v>
      </c>
      <c r="B20" s="351">
        <f>Operating!AK23</f>
        <v>34779.269999999997</v>
      </c>
      <c r="C20" s="352">
        <f>Endow!AK18</f>
        <v>17319.189999999999</v>
      </c>
      <c r="D20" s="353">
        <f>'Chair R01'!AL20</f>
        <v>44231.640000000007</v>
      </c>
      <c r="E20" s="353">
        <f>'Chair R03'!AL17</f>
        <v>17474.939999999995</v>
      </c>
      <c r="F20" s="354">
        <f>'Chair Non-Fed'!AL18</f>
        <v>29120.76</v>
      </c>
      <c r="G20" s="372">
        <f t="shared" si="3"/>
        <v>142925.80000000002</v>
      </c>
      <c r="H20" s="444">
        <f>'Chair R03'!AL17+'Chair R01'!AL20+'Chair Non-Fed'!AL18+Operating!AK23+Endow!AK18</f>
        <v>142925.79999999999</v>
      </c>
    </row>
    <row r="21" spans="1:8" s="359" customFormat="1" x14ac:dyDescent="0.2">
      <c r="A21" s="358" t="s">
        <v>233</v>
      </c>
      <c r="B21" s="351">
        <v>0</v>
      </c>
      <c r="C21" s="352">
        <v>0</v>
      </c>
      <c r="D21" s="353">
        <v>0</v>
      </c>
      <c r="E21" s="353">
        <v>0</v>
      </c>
      <c r="F21" s="354">
        <v>0</v>
      </c>
      <c r="G21" s="372">
        <f t="shared" si="3"/>
        <v>0</v>
      </c>
      <c r="H21" s="444"/>
    </row>
    <row r="22" spans="1:8" s="359" customFormat="1" x14ac:dyDescent="0.2">
      <c r="A22" s="358" t="s">
        <v>261</v>
      </c>
      <c r="B22" s="351">
        <f>Operating!AK24</f>
        <v>27173.060000000005</v>
      </c>
      <c r="C22" s="352">
        <f>Endow!AK19</f>
        <v>18565.809999999998</v>
      </c>
      <c r="D22" s="353">
        <f>'Chair R01'!AL22</f>
        <v>39602.879999999983</v>
      </c>
      <c r="E22" s="353">
        <f>'Chair R03'!AL19</f>
        <v>9623.3399999999983</v>
      </c>
      <c r="F22" s="354">
        <f>'Chair Non-Fed'!AL19</f>
        <v>12045.259999999998</v>
      </c>
      <c r="G22" s="372">
        <f t="shared" si="3"/>
        <v>107010.34999999998</v>
      </c>
      <c r="H22" s="444">
        <f>'Chair R03'!AL19+'Chair R01'!AL22+'Chair Non-Fed'!AL19+Operating!AK24+Endow!AK19</f>
        <v>107010.34999999998</v>
      </c>
    </row>
    <row r="23" spans="1:8" s="359" customFormat="1" x14ac:dyDescent="0.2">
      <c r="A23" s="358" t="s">
        <v>234</v>
      </c>
      <c r="B23" s="351">
        <v>0</v>
      </c>
      <c r="C23" s="352">
        <v>0</v>
      </c>
      <c r="D23" s="353">
        <v>0</v>
      </c>
      <c r="E23" s="353">
        <v>0</v>
      </c>
      <c r="F23" s="354"/>
      <c r="G23" s="372">
        <f t="shared" si="3"/>
        <v>0</v>
      </c>
      <c r="H23" s="444"/>
    </row>
    <row r="24" spans="1:8" s="207" customFormat="1" x14ac:dyDescent="0.2">
      <c r="A24" s="357" t="s">
        <v>235</v>
      </c>
      <c r="B24" s="351">
        <f>Operating!AK41</f>
        <v>100000</v>
      </c>
      <c r="C24" s="352">
        <v>0</v>
      </c>
      <c r="D24" s="353">
        <v>0</v>
      </c>
      <c r="E24" s="353">
        <v>0</v>
      </c>
      <c r="F24" s="354"/>
      <c r="G24" s="372">
        <f t="shared" si="3"/>
        <v>100000</v>
      </c>
      <c r="H24" s="444"/>
    </row>
    <row r="25" spans="1:8" s="207" customFormat="1" x14ac:dyDescent="0.2">
      <c r="A25" s="357" t="s">
        <v>236</v>
      </c>
      <c r="B25" s="351">
        <v>0</v>
      </c>
      <c r="C25" s="352">
        <v>0</v>
      </c>
      <c r="D25" s="353">
        <v>0</v>
      </c>
      <c r="E25" s="353">
        <v>0</v>
      </c>
      <c r="F25" s="354">
        <v>0</v>
      </c>
      <c r="G25" s="372">
        <f t="shared" si="3"/>
        <v>0</v>
      </c>
      <c r="H25" s="444"/>
    </row>
    <row r="26" spans="1:8" s="207" customFormat="1" x14ac:dyDescent="0.2">
      <c r="A26" s="357" t="s">
        <v>237</v>
      </c>
      <c r="B26" s="351">
        <f>Operating!AK38</f>
        <v>80000</v>
      </c>
      <c r="C26" s="352">
        <v>0</v>
      </c>
      <c r="D26" s="353">
        <f>'Chair R01'!AL28</f>
        <v>15000</v>
      </c>
      <c r="E26" s="353">
        <f>'Chair R03'!AL24</f>
        <v>1200</v>
      </c>
      <c r="F26" s="354">
        <f>'Chair Non-Fed'!AL24</f>
        <v>5000</v>
      </c>
      <c r="G26" s="372">
        <f t="shared" si="3"/>
        <v>101200</v>
      </c>
      <c r="H26" s="444">
        <f>'Chair R03'!AL24+'Chair R01'!AL28+'Chair Non-Fed'!AL24+Operating!AK38+Endow!AK24</f>
        <v>101200</v>
      </c>
    </row>
    <row r="27" spans="1:8" s="207" customFormat="1" x14ac:dyDescent="0.2">
      <c r="A27" s="357" t="s">
        <v>238</v>
      </c>
      <c r="B27" s="351">
        <f>Operating!AK56</f>
        <v>66999.999999999985</v>
      </c>
      <c r="C27" s="352">
        <v>0</v>
      </c>
      <c r="D27" s="353">
        <f>'Chair R01'!AL32</f>
        <v>10000</v>
      </c>
      <c r="E27" s="353">
        <f>'Chair R03'!AL28</f>
        <v>1700</v>
      </c>
      <c r="F27" s="354">
        <f>'Chair Non-Fed'!AL29</f>
        <v>9000</v>
      </c>
      <c r="G27" s="372">
        <f t="shared" si="3"/>
        <v>87699.999999999985</v>
      </c>
      <c r="H27" s="444">
        <f>'Chair R03'!AL28+'Chair R01'!AL32+'Chair Non-Fed'!AL29+Operating!AK56+Endow!AK28</f>
        <v>87699.999999999985</v>
      </c>
    </row>
    <row r="28" spans="1:8" s="189" customFormat="1" x14ac:dyDescent="0.2">
      <c r="A28" s="345" t="s">
        <v>239</v>
      </c>
      <c r="B28" s="346">
        <f>SUM(B18:B27)</f>
        <v>377419.62</v>
      </c>
      <c r="C28" s="347">
        <f>SUM(C18:C27)</f>
        <v>90366.32</v>
      </c>
      <c r="D28" s="348">
        <f t="shared" ref="D28:E28" si="4">SUM(D18:D27)</f>
        <v>218699.55999999997</v>
      </c>
      <c r="E28" s="348">
        <f t="shared" si="4"/>
        <v>49968.319999999992</v>
      </c>
      <c r="F28" s="348">
        <f t="shared" ref="F28" si="5">SUM(F18:F27)</f>
        <v>70657.210000000006</v>
      </c>
      <c r="G28" s="374">
        <f t="shared" si="3"/>
        <v>807111.02999999991</v>
      </c>
      <c r="H28" s="443">
        <f>SUM(G18:G27)</f>
        <v>807111.03</v>
      </c>
    </row>
    <row r="29" spans="1:8" s="189" customFormat="1" x14ac:dyDescent="0.2">
      <c r="A29" s="345" t="s">
        <v>240</v>
      </c>
      <c r="B29" s="360">
        <f>B15-B28</f>
        <v>-22311.020000000019</v>
      </c>
      <c r="C29" s="347">
        <f>C15-C28</f>
        <v>54476.56</v>
      </c>
      <c r="D29" s="348">
        <f t="shared" ref="D29:E29" si="6">D15-D28</f>
        <v>0</v>
      </c>
      <c r="E29" s="348">
        <f t="shared" si="6"/>
        <v>0</v>
      </c>
      <c r="F29" s="348">
        <f t="shared" ref="F29" si="7">F15-F28</f>
        <v>0</v>
      </c>
      <c r="G29" s="374">
        <f t="shared" si="3"/>
        <v>32165.539999999979</v>
      </c>
      <c r="H29" s="443">
        <f>G15-G28</f>
        <v>32165.540000000037</v>
      </c>
    </row>
    <row r="30" spans="1:8" customFormat="1" x14ac:dyDescent="0.2">
      <c r="A30" s="350"/>
      <c r="B30" s="351"/>
      <c r="C30" s="352"/>
      <c r="D30" s="353"/>
      <c r="E30" s="353"/>
      <c r="F30" s="354"/>
      <c r="G30" s="372"/>
      <c r="H30" s="444"/>
    </row>
    <row r="31" spans="1:8" customFormat="1" x14ac:dyDescent="0.2">
      <c r="A31" s="345" t="s">
        <v>241</v>
      </c>
      <c r="B31" s="351"/>
      <c r="C31" s="352"/>
      <c r="D31" s="353"/>
      <c r="E31" s="353"/>
      <c r="F31" s="354"/>
      <c r="G31" s="372"/>
      <c r="H31" s="444"/>
    </row>
    <row r="32" spans="1:8" customFormat="1" x14ac:dyDescent="0.2">
      <c r="A32" s="350" t="s">
        <v>242</v>
      </c>
      <c r="B32" s="351">
        <v>0</v>
      </c>
      <c r="C32" s="352">
        <v>0</v>
      </c>
      <c r="D32" s="353">
        <v>0</v>
      </c>
      <c r="E32" s="353">
        <v>0</v>
      </c>
      <c r="F32" s="353">
        <v>0</v>
      </c>
      <c r="G32" s="373">
        <f>SUM(B32:F32)</f>
        <v>0</v>
      </c>
      <c r="H32" s="444"/>
    </row>
    <row r="33" spans="1:8" customFormat="1" x14ac:dyDescent="0.2">
      <c r="A33" s="350" t="s">
        <v>243</v>
      </c>
      <c r="B33" s="351">
        <v>0</v>
      </c>
      <c r="C33" s="352">
        <v>0</v>
      </c>
      <c r="D33" s="353">
        <v>0</v>
      </c>
      <c r="E33" s="353">
        <v>0</v>
      </c>
      <c r="F33" s="353">
        <v>0</v>
      </c>
      <c r="G33" s="373">
        <f>SUM(B33:F33)</f>
        <v>0</v>
      </c>
      <c r="H33" s="444"/>
    </row>
    <row r="34" spans="1:8" customFormat="1" x14ac:dyDescent="0.2">
      <c r="A34" s="350" t="s">
        <v>244</v>
      </c>
      <c r="B34" s="351">
        <v>0</v>
      </c>
      <c r="C34" s="352">
        <v>0</v>
      </c>
      <c r="D34" s="353">
        <v>0</v>
      </c>
      <c r="E34" s="353">
        <v>0</v>
      </c>
      <c r="F34" s="353">
        <v>0</v>
      </c>
      <c r="G34" s="373">
        <f>SUM(B34:F34)</f>
        <v>0</v>
      </c>
      <c r="H34" s="444"/>
    </row>
    <row r="35" spans="1:8" customFormat="1" x14ac:dyDescent="0.2">
      <c r="A35" s="350"/>
      <c r="B35" s="351"/>
      <c r="C35" s="352"/>
      <c r="D35" s="353"/>
      <c r="E35" s="353"/>
      <c r="F35" s="353"/>
      <c r="G35" s="373">
        <f>SUM(B35:F35)</f>
        <v>0</v>
      </c>
      <c r="H35" s="444"/>
    </row>
    <row r="36" spans="1:8" s="189" customFormat="1" x14ac:dyDescent="0.2">
      <c r="A36" s="345" t="s">
        <v>245</v>
      </c>
      <c r="B36" s="346">
        <f>SUM(B32:B34)</f>
        <v>0</v>
      </c>
      <c r="C36" s="347">
        <f>SUM(C32:C34)</f>
        <v>0</v>
      </c>
      <c r="D36" s="348">
        <f t="shared" ref="D36:E36" si="8">SUM(D32:D34)</f>
        <v>0</v>
      </c>
      <c r="E36" s="348">
        <f t="shared" si="8"/>
        <v>0</v>
      </c>
      <c r="F36" s="348">
        <f t="shared" ref="F36" si="9">SUM(F32:F34)</f>
        <v>0</v>
      </c>
      <c r="G36" s="374">
        <f>SUM(B36:F36)</f>
        <v>0</v>
      </c>
      <c r="H36" s="443">
        <f>SUM(G32:G35)</f>
        <v>0</v>
      </c>
    </row>
    <row r="37" spans="1:8" customFormat="1" x14ac:dyDescent="0.2">
      <c r="A37" s="350"/>
      <c r="B37" s="346"/>
      <c r="C37" s="347"/>
      <c r="D37" s="348"/>
      <c r="E37" s="348"/>
      <c r="F37" s="348"/>
      <c r="G37" s="374"/>
      <c r="H37" s="443"/>
    </row>
    <row r="38" spans="1:8" customFormat="1" x14ac:dyDescent="0.2">
      <c r="A38" s="345" t="s">
        <v>246</v>
      </c>
      <c r="B38" s="346"/>
      <c r="C38" s="347"/>
      <c r="D38" s="348"/>
      <c r="E38" s="348"/>
      <c r="F38" s="348"/>
      <c r="G38" s="374"/>
      <c r="H38" s="443"/>
    </row>
    <row r="39" spans="1:8" s="207" customFormat="1" x14ac:dyDescent="0.2">
      <c r="A39" s="357" t="s">
        <v>247</v>
      </c>
      <c r="B39" s="351">
        <v>0</v>
      </c>
      <c r="C39" s="352">
        <v>0</v>
      </c>
      <c r="D39" s="353">
        <v>0</v>
      </c>
      <c r="E39" s="353">
        <v>0</v>
      </c>
      <c r="F39" s="353">
        <v>0</v>
      </c>
      <c r="G39" s="373">
        <f>SUM(B39:F39)</f>
        <v>0</v>
      </c>
      <c r="H39" s="444"/>
    </row>
    <row r="40" spans="1:8" s="207" customFormat="1" x14ac:dyDescent="0.2">
      <c r="A40" s="357" t="s">
        <v>248</v>
      </c>
      <c r="B40" s="351">
        <v>0</v>
      </c>
      <c r="C40" s="352">
        <v>0</v>
      </c>
      <c r="D40" s="353">
        <v>0</v>
      </c>
      <c r="E40" s="353">
        <v>0</v>
      </c>
      <c r="F40" s="353">
        <v>0</v>
      </c>
      <c r="G40" s="373">
        <f>SUM(B40:F40)</f>
        <v>0</v>
      </c>
      <c r="H40" s="444"/>
    </row>
    <row r="41" spans="1:8" s="207" customFormat="1" x14ac:dyDescent="0.2">
      <c r="A41" s="357" t="s">
        <v>249</v>
      </c>
      <c r="B41" s="351">
        <v>0</v>
      </c>
      <c r="C41" s="352">
        <v>0</v>
      </c>
      <c r="D41" s="353">
        <v>0</v>
      </c>
      <c r="E41" s="353">
        <v>0</v>
      </c>
      <c r="F41" s="353">
        <v>0</v>
      </c>
      <c r="G41" s="373">
        <f>SUM(B41:F41)</f>
        <v>0</v>
      </c>
      <c r="H41" s="444"/>
    </row>
    <row r="42" spans="1:8" s="207" customFormat="1" x14ac:dyDescent="0.2">
      <c r="A42" s="357" t="s">
        <v>250</v>
      </c>
      <c r="B42" s="351">
        <v>0</v>
      </c>
      <c r="C42" s="352">
        <v>0</v>
      </c>
      <c r="D42" s="353">
        <v>0</v>
      </c>
      <c r="E42" s="353">
        <v>0</v>
      </c>
      <c r="F42" s="353">
        <v>0</v>
      </c>
      <c r="G42" s="373">
        <f>SUM(B42:F42)</f>
        <v>0</v>
      </c>
      <c r="H42" s="444"/>
    </row>
    <row r="43" spans="1:8" s="189" customFormat="1" x14ac:dyDescent="0.2">
      <c r="A43" s="345" t="s">
        <v>251</v>
      </c>
      <c r="B43" s="346">
        <f>SUM(B39:B42)</f>
        <v>0</v>
      </c>
      <c r="C43" s="347">
        <f>SUM(C39:C42)</f>
        <v>0</v>
      </c>
      <c r="D43" s="348">
        <f t="shared" ref="D43:E43" si="10">SUM(D39:D42)</f>
        <v>0</v>
      </c>
      <c r="E43" s="348">
        <f t="shared" si="10"/>
        <v>0</v>
      </c>
      <c r="F43" s="348">
        <f t="shared" ref="F43" si="11">SUM(F39:F42)</f>
        <v>0</v>
      </c>
      <c r="G43" s="374">
        <f>SUM(B43:F43)</f>
        <v>0</v>
      </c>
      <c r="H43" s="443"/>
    </row>
    <row r="44" spans="1:8" customFormat="1" x14ac:dyDescent="0.2">
      <c r="A44" s="350"/>
      <c r="B44" s="346"/>
      <c r="C44" s="347"/>
      <c r="D44" s="348"/>
      <c r="E44" s="348"/>
      <c r="F44" s="348"/>
      <c r="G44" s="374"/>
      <c r="H44" s="443"/>
    </row>
    <row r="45" spans="1:8" s="207" customFormat="1" x14ac:dyDescent="0.2">
      <c r="A45" s="357" t="s">
        <v>252</v>
      </c>
      <c r="B45" s="361">
        <f>B29+B36-B43</f>
        <v>-22311.020000000019</v>
      </c>
      <c r="C45" s="352">
        <f>C29+C36-C43</f>
        <v>54476.56</v>
      </c>
      <c r="D45" s="353">
        <f t="shared" ref="D45" si="12">D29+D36-D43</f>
        <v>0</v>
      </c>
      <c r="E45" s="353">
        <f>E29+E36-E43</f>
        <v>0</v>
      </c>
      <c r="F45" s="353">
        <f>F29+F36-F43</f>
        <v>0</v>
      </c>
      <c r="G45" s="373">
        <f>SUM(B45:F45)</f>
        <v>32165.539999999979</v>
      </c>
      <c r="H45" s="444">
        <f>G29+G36-G43</f>
        <v>32165.539999999979</v>
      </c>
    </row>
    <row r="46" spans="1:8" s="207" customFormat="1" x14ac:dyDescent="0.2">
      <c r="A46" s="357" t="s">
        <v>253</v>
      </c>
      <c r="B46" s="351">
        <v>0</v>
      </c>
      <c r="C46" s="352">
        <v>0</v>
      </c>
      <c r="D46" s="353">
        <v>0</v>
      </c>
      <c r="E46" s="353">
        <v>0</v>
      </c>
      <c r="F46" s="353">
        <v>0</v>
      </c>
      <c r="G46" s="373">
        <f>SUM(B46:F46)</f>
        <v>0</v>
      </c>
      <c r="H46" s="444">
        <v>0</v>
      </c>
    </row>
    <row r="47" spans="1:8" s="207" customFormat="1" x14ac:dyDescent="0.2">
      <c r="A47" s="357" t="s">
        <v>254</v>
      </c>
      <c r="B47" s="351">
        <f>B5</f>
        <v>2000000</v>
      </c>
      <c r="C47" s="352">
        <f>C5</f>
        <v>140889.06</v>
      </c>
      <c r="D47" s="353">
        <f t="shared" ref="D47" si="13">D5</f>
        <v>0</v>
      </c>
      <c r="E47" s="353">
        <f>E5</f>
        <v>0</v>
      </c>
      <c r="F47" s="353">
        <f>F5</f>
        <v>0</v>
      </c>
      <c r="G47" s="373">
        <f>SUM(B47:F47)</f>
        <v>2140889.06</v>
      </c>
      <c r="H47" s="444">
        <f>G5</f>
        <v>2140889.06</v>
      </c>
    </row>
    <row r="48" spans="1:8" s="189" customFormat="1" ht="13.5" thickBot="1" x14ac:dyDescent="0.25">
      <c r="A48" s="362" t="s">
        <v>255</v>
      </c>
      <c r="B48" s="363">
        <f>B47+B45</f>
        <v>1977688.98</v>
      </c>
      <c r="C48" s="364">
        <f>C47+C45</f>
        <v>195365.62</v>
      </c>
      <c r="D48" s="365">
        <f t="shared" ref="D48:E48" si="14">D47+D45</f>
        <v>0</v>
      </c>
      <c r="E48" s="365">
        <f t="shared" si="14"/>
        <v>0</v>
      </c>
      <c r="F48" s="365">
        <f t="shared" ref="F48" si="15">F47+F45</f>
        <v>0</v>
      </c>
      <c r="G48" s="375">
        <f>SUM(B48:F48)</f>
        <v>2173054.6</v>
      </c>
      <c r="H48" s="445">
        <f t="shared" ref="H48" si="16">H47+H45</f>
        <v>2173054.6</v>
      </c>
    </row>
  </sheetData>
  <printOptions horizontalCentered="1" verticalCentered="1"/>
  <pageMargins left="0.25" right="0.25" top="0.25" bottom="0.25" header="0.3" footer="0.3"/>
  <pageSetup paperSize="5" scale="88" orientation="landscape"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Instructions</vt:lpstr>
      <vt:lpstr>Chair FY11</vt:lpstr>
      <vt:lpstr>Staff Salary Dist</vt:lpstr>
      <vt:lpstr>Chair R03</vt:lpstr>
      <vt:lpstr>Chair R01</vt:lpstr>
      <vt:lpstr>Chair Non-Fed</vt:lpstr>
      <vt:lpstr>Operating</vt:lpstr>
      <vt:lpstr>Endow</vt:lpstr>
      <vt:lpstr>Composite</vt:lpstr>
      <vt:lpstr>'Chair FY11'!Print_Area</vt:lpstr>
      <vt:lpstr>'Chair Non-Fed'!Print_Area</vt:lpstr>
      <vt:lpstr>'Chair R01'!Print_Area</vt:lpstr>
      <vt:lpstr>'Chair R03'!Print_Area</vt:lpstr>
      <vt:lpstr>Composite!Print_Area</vt:lpstr>
      <vt:lpstr>Endow!Print_Area</vt:lpstr>
      <vt:lpstr>Operating!Print_Area</vt:lpstr>
      <vt:lpstr>'Staff Salary Dist'!Print_Area</vt:lpstr>
      <vt:lpstr>'Chair FY11'!Print_Titles</vt:lpstr>
      <vt:lpstr>'Chair Non-Fed'!Print_Titles</vt:lpstr>
      <vt:lpstr>'Chair R01'!Print_Titles</vt:lpstr>
      <vt:lpstr>'Chair R03'!Print_Titles</vt:lpstr>
      <vt:lpstr>Endow!Print_Titles</vt:lpstr>
      <vt:lpstr>Operating!Print_Titles</vt:lpstr>
      <vt:lpstr>'Staff Salary Dist'!Print_Titles</vt:lpstr>
    </vt:vector>
  </TitlesOfParts>
  <Company>Northwestern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mgrana</dc:creator>
  <cp:lastModifiedBy>mgrana</cp:lastModifiedBy>
  <cp:lastPrinted>2011-11-10T16:52:17Z</cp:lastPrinted>
  <dcterms:created xsi:type="dcterms:W3CDTF">2010-12-14T21:44:50Z</dcterms:created>
  <dcterms:modified xsi:type="dcterms:W3CDTF">2011-11-10T16:52:39Z</dcterms:modified>
</cp:coreProperties>
</file>